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E:\Drogenbos\"/>
    </mc:Choice>
  </mc:AlternateContent>
  <bookViews>
    <workbookView xWindow="87390" yWindow="0" windowWidth="18915" windowHeight="8340" tabRatio="713" firstSheet="4" activeTab="7"/>
  </bookViews>
  <sheets>
    <sheet name="liste a cable terre" sheetId="2" r:id="rId1"/>
    <sheet name="listing tableaux" sheetId="3" r:id="rId2"/>
    <sheet name="Listing compteurs" sheetId="4" r:id="rId3"/>
    <sheet name="situation projetée" sheetId="8" r:id="rId4"/>
    <sheet name="Feuil2 (2)" sheetId="12" r:id="rId5"/>
    <sheet name="Feuil2" sheetId="6" r:id="rId6"/>
    <sheet name="Listing client" sheetId="10" r:id="rId7"/>
    <sheet name="Listing compteurs (2)" sheetId="9" r:id="rId8"/>
    <sheet name="Liste a câbles" sheetId="5" r:id="rId9"/>
    <sheet name="Annexe liste a câble" sheetId="11" r:id="rId10"/>
    <sheet name="Feuil3" sheetId="7" r:id="rId11"/>
  </sheets>
  <definedNames>
    <definedName name="_xlnm._FilterDatabase" localSheetId="8" hidden="1">'Liste a câbles'!$A$1:$N$89</definedName>
    <definedName name="_xlnm._FilterDatabase" localSheetId="6" hidden="1">'Listing client'!$A$2:$E$2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1" l="1"/>
  <c r="C27" i="11"/>
  <c r="C28" i="11"/>
  <c r="C29" i="11"/>
  <c r="C30" i="11"/>
  <c r="C31" i="11"/>
  <c r="C32" i="11"/>
  <c r="C33" i="11"/>
  <c r="C86" i="11"/>
  <c r="C90" i="11"/>
  <c r="C91" i="11"/>
  <c r="C92" i="11"/>
  <c r="A25" i="11"/>
  <c r="B25" i="11"/>
  <c r="E25" i="11"/>
  <c r="I25" i="11" s="1"/>
  <c r="F25" i="11"/>
  <c r="E3" i="9"/>
  <c r="C3" i="11"/>
  <c r="C4" i="11"/>
  <c r="N4" i="5" s="1"/>
  <c r="C37" i="11" s="1"/>
  <c r="C5" i="11"/>
  <c r="C6" i="11"/>
  <c r="C7" i="11"/>
  <c r="C8" i="11"/>
  <c r="C9" i="11"/>
  <c r="C10" i="11"/>
  <c r="C11" i="11"/>
  <c r="C13" i="11"/>
  <c r="C16" i="11"/>
  <c r="C17" i="11"/>
  <c r="C18" i="11"/>
  <c r="C19" i="11"/>
  <c r="C20" i="11"/>
  <c r="C21" i="11"/>
  <c r="C22" i="11"/>
  <c r="C23" i="11"/>
  <c r="C24" i="11"/>
  <c r="C2" i="11"/>
  <c r="M55" i="5"/>
  <c r="A55" i="11"/>
  <c r="B55" i="11"/>
  <c r="A56" i="11"/>
  <c r="B56" i="11"/>
  <c r="A57" i="11"/>
  <c r="B57" i="11"/>
  <c r="A58" i="11"/>
  <c r="B58" i="11"/>
  <c r="A59" i="11"/>
  <c r="B59" i="11"/>
  <c r="A60" i="11"/>
  <c r="B60" i="11"/>
  <c r="A61" i="11"/>
  <c r="B61" i="11"/>
  <c r="A62" i="11"/>
  <c r="B62" i="11"/>
  <c r="A63" i="11"/>
  <c r="B63" i="11"/>
  <c r="A64" i="11"/>
  <c r="B64" i="11"/>
  <c r="A65" i="11"/>
  <c r="B65" i="11"/>
  <c r="A66" i="11"/>
  <c r="B66" i="11"/>
  <c r="A67" i="11"/>
  <c r="B67" i="11"/>
  <c r="A68" i="11"/>
  <c r="B68" i="11"/>
  <c r="A69" i="11"/>
  <c r="B69" i="11"/>
  <c r="A70" i="11"/>
  <c r="B70" i="11"/>
  <c r="A71" i="11"/>
  <c r="B71" i="11"/>
  <c r="A72" i="11"/>
  <c r="B72" i="11"/>
  <c r="A73" i="11"/>
  <c r="B73" i="11"/>
  <c r="A74" i="11"/>
  <c r="B74" i="11"/>
  <c r="A75" i="11"/>
  <c r="B75" i="11"/>
  <c r="A76" i="11"/>
  <c r="B76" i="11"/>
  <c r="A77" i="11"/>
  <c r="B77" i="11"/>
  <c r="A78" i="11"/>
  <c r="B78" i="11"/>
  <c r="A79" i="11"/>
  <c r="B79" i="11"/>
  <c r="A80" i="11"/>
  <c r="B80" i="11"/>
  <c r="A81" i="11"/>
  <c r="B81" i="11"/>
  <c r="A82" i="11"/>
  <c r="B82" i="11"/>
  <c r="A83" i="11"/>
  <c r="B83" i="11"/>
  <c r="A84" i="11"/>
  <c r="B84" i="11"/>
  <c r="A85" i="11"/>
  <c r="B85" i="11"/>
  <c r="A86" i="11"/>
  <c r="B86" i="11"/>
  <c r="A87" i="11"/>
  <c r="B87" i="11"/>
  <c r="A88" i="11"/>
  <c r="B88" i="11"/>
  <c r="A89" i="11"/>
  <c r="B89" i="11"/>
  <c r="A90" i="11"/>
  <c r="B90" i="11"/>
  <c r="A91" i="11"/>
  <c r="B91" i="11"/>
  <c r="A92" i="11"/>
  <c r="B92" i="11"/>
  <c r="H4" i="9"/>
  <c r="H10" i="9"/>
  <c r="H14" i="9"/>
  <c r="H21" i="9"/>
  <c r="H27" i="9"/>
  <c r="H36" i="9"/>
  <c r="H39" i="9"/>
  <c r="H54" i="9"/>
  <c r="H55" i="9"/>
  <c r="H56" i="9"/>
  <c r="H60" i="9"/>
  <c r="H67" i="9"/>
  <c r="H71" i="9"/>
  <c r="H88" i="9"/>
  <c r="G24" i="9"/>
  <c r="E90" i="9"/>
  <c r="E89" i="9"/>
  <c r="E61" i="9"/>
  <c r="E62" i="9"/>
  <c r="E63" i="9"/>
  <c r="E64" i="9"/>
  <c r="E65" i="9"/>
  <c r="E66" i="9"/>
  <c r="E68" i="9"/>
  <c r="E69" i="9"/>
  <c r="E70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59" i="9"/>
  <c r="E58" i="9"/>
  <c r="F24" i="9"/>
  <c r="E5" i="9"/>
  <c r="E6" i="9"/>
  <c r="E7" i="9"/>
  <c r="E8" i="9"/>
  <c r="E9" i="9"/>
  <c r="E11" i="9"/>
  <c r="E12" i="9"/>
  <c r="E2" i="9"/>
  <c r="E13" i="9"/>
  <c r="E15" i="9"/>
  <c r="E16" i="9"/>
  <c r="E17" i="9"/>
  <c r="E53" i="9"/>
  <c r="E52" i="9"/>
  <c r="E51" i="9"/>
  <c r="E50" i="9"/>
  <c r="E49" i="9"/>
  <c r="E48" i="9"/>
  <c r="E47" i="9"/>
  <c r="E46" i="9"/>
  <c r="E45" i="9"/>
  <c r="E44" i="9"/>
  <c r="E43" i="9"/>
  <c r="E42" i="9"/>
  <c r="E41" i="9"/>
  <c r="E40" i="9"/>
  <c r="E38" i="9"/>
  <c r="E37" i="9"/>
  <c r="E35" i="9"/>
  <c r="E34" i="9"/>
  <c r="E33" i="9"/>
  <c r="E32" i="9"/>
  <c r="E31" i="9"/>
  <c r="E30" i="9"/>
  <c r="E29" i="9"/>
  <c r="E28" i="9"/>
  <c r="E26" i="9"/>
  <c r="E25" i="9"/>
  <c r="E24" i="9"/>
  <c r="E23" i="9"/>
  <c r="E22" i="9"/>
  <c r="E20" i="9"/>
  <c r="E19" i="9"/>
  <c r="E18" i="9"/>
  <c r="B76" i="10"/>
  <c r="B75" i="10"/>
  <c r="B74" i="10"/>
  <c r="B73" i="10"/>
  <c r="B72" i="10"/>
  <c r="B71" i="10"/>
  <c r="B70" i="10"/>
  <c r="B69" i="10"/>
  <c r="B68" i="10"/>
  <c r="B67" i="10"/>
  <c r="B66" i="10"/>
  <c r="B65" i="10"/>
  <c r="B64" i="10"/>
  <c r="B63" i="10"/>
  <c r="B62" i="10"/>
  <c r="B61" i="10"/>
  <c r="B60" i="10"/>
  <c r="B59" i="10"/>
  <c r="B58" i="10"/>
  <c r="B57" i="10"/>
  <c r="B56" i="10"/>
  <c r="B55" i="10"/>
  <c r="B54" i="10"/>
  <c r="B53" i="10"/>
  <c r="B52" i="10"/>
  <c r="B51" i="10"/>
  <c r="B50" i="10"/>
  <c r="B49" i="10"/>
  <c r="B48" i="10"/>
  <c r="B47" i="10"/>
  <c r="B46" i="10"/>
  <c r="B45" i="10"/>
  <c r="B44" i="10"/>
  <c r="B43" i="10"/>
  <c r="B42" i="10"/>
  <c r="B41" i="10"/>
  <c r="B40" i="10"/>
  <c r="B39" i="10"/>
  <c r="B38" i="10"/>
  <c r="B37" i="10"/>
  <c r="B36" i="10"/>
  <c r="B35" i="10"/>
  <c r="B34" i="10"/>
  <c r="B33" i="10"/>
  <c r="B32" i="10"/>
  <c r="B31" i="10"/>
  <c r="B30" i="10"/>
  <c r="B29" i="10"/>
  <c r="B28" i="10"/>
  <c r="B27" i="10"/>
  <c r="B26" i="10"/>
  <c r="B25" i="10"/>
  <c r="B24" i="10"/>
  <c r="B23" i="10"/>
  <c r="B22" i="10"/>
  <c r="B21" i="10"/>
  <c r="B20" i="10"/>
  <c r="B19" i="10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B4" i="10"/>
  <c r="B3" i="10"/>
  <c r="N5" i="5"/>
  <c r="G89" i="9" s="1"/>
  <c r="N6" i="5"/>
  <c r="G90" i="9" s="1"/>
  <c r="C34" i="11" l="1"/>
  <c r="C48" i="11"/>
  <c r="C44" i="11"/>
  <c r="C40" i="11"/>
  <c r="C47" i="11"/>
  <c r="C43" i="11"/>
  <c r="C39" i="11"/>
  <c r="C35" i="11"/>
  <c r="C46" i="11"/>
  <c r="C42" i="11"/>
  <c r="C38" i="11"/>
  <c r="C49" i="11"/>
  <c r="C45" i="11"/>
  <c r="C41" i="11"/>
  <c r="J25" i="11"/>
  <c r="H24" i="9"/>
  <c r="F5" i="11"/>
  <c r="F6" i="11"/>
  <c r="F17" i="11"/>
  <c r="F21" i="11"/>
  <c r="F23" i="11"/>
  <c r="F24" i="11"/>
  <c r="F26" i="11"/>
  <c r="F28" i="11"/>
  <c r="F29" i="11"/>
  <c r="F30" i="11"/>
  <c r="F31" i="11"/>
  <c r="F32" i="11"/>
  <c r="F33" i="11"/>
  <c r="F42" i="11"/>
  <c r="F43" i="11"/>
  <c r="F44" i="11"/>
  <c r="F45" i="11"/>
  <c r="F48" i="11"/>
  <c r="F49" i="11"/>
  <c r="F51" i="11"/>
  <c r="F52" i="11"/>
  <c r="F53" i="11"/>
  <c r="F56" i="11"/>
  <c r="F57" i="11"/>
  <c r="F59" i="11"/>
  <c r="F60" i="11"/>
  <c r="F61" i="11"/>
  <c r="F63" i="11"/>
  <c r="F64" i="11"/>
  <c r="F65" i="11"/>
  <c r="F66" i="11"/>
  <c r="F70" i="11"/>
  <c r="F72" i="11"/>
  <c r="F73" i="11"/>
  <c r="F74" i="11"/>
  <c r="F75" i="11"/>
  <c r="F76" i="11"/>
  <c r="F84" i="11"/>
  <c r="F86" i="11"/>
  <c r="F87" i="11"/>
  <c r="F90" i="11"/>
  <c r="F91" i="11"/>
  <c r="F92" i="11"/>
  <c r="E24" i="11"/>
  <c r="I24" i="11" s="1"/>
  <c r="E26" i="11"/>
  <c r="I26" i="11" s="1"/>
  <c r="E28" i="11"/>
  <c r="I28" i="11" s="1"/>
  <c r="E29" i="11"/>
  <c r="I29" i="11" s="1"/>
  <c r="E30" i="11"/>
  <c r="I30" i="11" s="1"/>
  <c r="E31" i="11"/>
  <c r="I31" i="11" s="1"/>
  <c r="E32" i="11"/>
  <c r="I32" i="11" s="1"/>
  <c r="E33" i="11"/>
  <c r="I33" i="11" s="1"/>
  <c r="E42" i="11"/>
  <c r="I42" i="11" s="1"/>
  <c r="E43" i="11"/>
  <c r="I43" i="11" s="1"/>
  <c r="E44" i="11"/>
  <c r="I44" i="11" s="1"/>
  <c r="E45" i="11"/>
  <c r="I45" i="11" s="1"/>
  <c r="E48" i="11"/>
  <c r="I48" i="11" s="1"/>
  <c r="E49" i="11"/>
  <c r="I49" i="11" s="1"/>
  <c r="E51" i="11"/>
  <c r="I51" i="11" s="1"/>
  <c r="E52" i="11"/>
  <c r="I52" i="11" s="1"/>
  <c r="E53" i="11"/>
  <c r="I53" i="11" s="1"/>
  <c r="E56" i="11"/>
  <c r="I56" i="11" s="1"/>
  <c r="E57" i="11"/>
  <c r="I57" i="11" s="1"/>
  <c r="E59" i="11"/>
  <c r="I59" i="11" s="1"/>
  <c r="E60" i="11"/>
  <c r="I60" i="11" s="1"/>
  <c r="E61" i="11"/>
  <c r="I61" i="11" s="1"/>
  <c r="E63" i="11"/>
  <c r="I63" i="11" s="1"/>
  <c r="E64" i="11"/>
  <c r="I64" i="11" s="1"/>
  <c r="E65" i="11"/>
  <c r="I65" i="11" s="1"/>
  <c r="E66" i="11"/>
  <c r="I66" i="11" s="1"/>
  <c r="E70" i="11"/>
  <c r="I70" i="11" s="1"/>
  <c r="E72" i="11"/>
  <c r="I72" i="11" s="1"/>
  <c r="E73" i="11"/>
  <c r="I73" i="11" s="1"/>
  <c r="E74" i="11"/>
  <c r="I74" i="11" s="1"/>
  <c r="E75" i="11"/>
  <c r="I75" i="11" s="1"/>
  <c r="E76" i="11"/>
  <c r="I76" i="11" s="1"/>
  <c r="E84" i="11"/>
  <c r="I84" i="11" s="1"/>
  <c r="E86" i="11"/>
  <c r="I86" i="11" s="1"/>
  <c r="E87" i="11"/>
  <c r="I87" i="11" s="1"/>
  <c r="E90" i="11"/>
  <c r="I90" i="11" s="1"/>
  <c r="E91" i="11"/>
  <c r="I91" i="11" s="1"/>
  <c r="E92" i="11"/>
  <c r="I92" i="11" s="1"/>
  <c r="E17" i="11"/>
  <c r="I17" i="11" s="1"/>
  <c r="E21" i="11"/>
  <c r="I21" i="11" s="1"/>
  <c r="E23" i="11"/>
  <c r="I23" i="11" s="1"/>
  <c r="E5" i="11"/>
  <c r="I5" i="11" s="1"/>
  <c r="E6" i="11"/>
  <c r="I6" i="11" s="1"/>
  <c r="B2" i="11"/>
  <c r="B3" i="1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1" i="11"/>
  <c r="A2" i="11"/>
  <c r="A3" i="11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1" i="11"/>
  <c r="H27" i="12"/>
  <c r="H28" i="12"/>
  <c r="H26" i="12"/>
  <c r="B27" i="12"/>
  <c r="B28" i="12"/>
  <c r="B26" i="12"/>
  <c r="C26" i="12"/>
  <c r="C25" i="12"/>
  <c r="H25" i="12" s="1"/>
  <c r="I28" i="12" s="1"/>
  <c r="G29" i="12"/>
  <c r="F29" i="12"/>
  <c r="D29" i="12"/>
  <c r="C29" i="12"/>
  <c r="B29" i="12"/>
  <c r="C28" i="12"/>
  <c r="C27" i="12"/>
  <c r="D26" i="12"/>
  <c r="D25" i="12"/>
  <c r="J10" i="12"/>
  <c r="J9" i="12"/>
  <c r="B7" i="12"/>
  <c r="C3" i="12" s="1"/>
  <c r="B13" i="12" s="1"/>
  <c r="C10" i="12" s="1"/>
  <c r="C25" i="6"/>
  <c r="D25" i="6"/>
  <c r="F25" i="6" s="1"/>
  <c r="G25" i="6" s="1"/>
  <c r="E25" i="6"/>
  <c r="B26" i="6"/>
  <c r="H25" i="11" l="1"/>
  <c r="G25" i="11"/>
  <c r="O3" i="5"/>
  <c r="O2" i="5"/>
  <c r="H4" i="11"/>
  <c r="F4" i="11" s="1"/>
  <c r="H43" i="11" s="1"/>
  <c r="G92" i="11"/>
  <c r="H27" i="11"/>
  <c r="F27" i="11" s="1"/>
  <c r="H10" i="11"/>
  <c r="F10" i="11" s="1"/>
  <c r="G91" i="11"/>
  <c r="G87" i="11"/>
  <c r="G27" i="11"/>
  <c r="E27" i="11" s="1"/>
  <c r="I27" i="11" s="1"/>
  <c r="G10" i="11"/>
  <c r="H31" i="11"/>
  <c r="H22" i="11"/>
  <c r="F22" i="11" s="1"/>
  <c r="H12" i="11" s="1"/>
  <c r="F12" i="11" s="1"/>
  <c r="H18" i="11"/>
  <c r="F18" i="11" s="1"/>
  <c r="H6" i="11"/>
  <c r="J32" i="11"/>
  <c r="J28" i="11"/>
  <c r="H28" i="11"/>
  <c r="G28" i="11"/>
  <c r="H19" i="11"/>
  <c r="F19" i="11" s="1"/>
  <c r="G19" i="11"/>
  <c r="E19" i="11" s="1"/>
  <c r="H7" i="11"/>
  <c r="F7" i="11" s="1"/>
  <c r="H51" i="11" s="1"/>
  <c r="G7" i="11"/>
  <c r="E7" i="11" s="1"/>
  <c r="J6" i="11"/>
  <c r="J91" i="11"/>
  <c r="J65" i="11"/>
  <c r="J30" i="11"/>
  <c r="J33" i="11"/>
  <c r="J29" i="11"/>
  <c r="J24" i="11"/>
  <c r="J92" i="11"/>
  <c r="J90" i="11"/>
  <c r="J86" i="11"/>
  <c r="J84" i="11"/>
  <c r="J76" i="11"/>
  <c r="J74" i="11"/>
  <c r="J72" i="11"/>
  <c r="J70" i="11"/>
  <c r="J66" i="11"/>
  <c r="J64" i="11"/>
  <c r="J60" i="11"/>
  <c r="J56" i="11"/>
  <c r="J53" i="11"/>
  <c r="J51" i="11"/>
  <c r="J49" i="11"/>
  <c r="J45" i="11"/>
  <c r="J43" i="11"/>
  <c r="G86" i="11"/>
  <c r="H86" i="11"/>
  <c r="H33" i="11"/>
  <c r="G33" i="11"/>
  <c r="H29" i="11"/>
  <c r="G29" i="11"/>
  <c r="H24" i="11"/>
  <c r="G24" i="11"/>
  <c r="H20" i="11"/>
  <c r="F20" i="11" s="1"/>
  <c r="G20" i="11"/>
  <c r="E20" i="11" s="1"/>
  <c r="H16" i="11"/>
  <c r="F16" i="11" s="1"/>
  <c r="G16" i="11"/>
  <c r="E16" i="11" s="1"/>
  <c r="H8" i="11"/>
  <c r="F8" i="11" s="1"/>
  <c r="G8" i="11"/>
  <c r="E8" i="11" s="1"/>
  <c r="G31" i="11"/>
  <c r="J31" i="11"/>
  <c r="J87" i="11"/>
  <c r="J75" i="11"/>
  <c r="J63" i="11"/>
  <c r="J61" i="11"/>
  <c r="J59" i="11"/>
  <c r="J52" i="11"/>
  <c r="J48" i="11"/>
  <c r="J44" i="11"/>
  <c r="J42" i="11"/>
  <c r="H92" i="11"/>
  <c r="G22" i="11"/>
  <c r="E22" i="11" s="1"/>
  <c r="G6" i="11"/>
  <c r="J73" i="11"/>
  <c r="H32" i="11"/>
  <c r="G32" i="11"/>
  <c r="H23" i="11"/>
  <c r="G23" i="11"/>
  <c r="H11" i="11"/>
  <c r="F11" i="11" s="1"/>
  <c r="G11" i="11"/>
  <c r="E11" i="11" s="1"/>
  <c r="J23" i="11"/>
  <c r="J26" i="11"/>
  <c r="J21" i="11"/>
  <c r="J17" i="11"/>
  <c r="J5" i="11"/>
  <c r="H91" i="11"/>
  <c r="H87" i="11"/>
  <c r="H30" i="11"/>
  <c r="G30" i="11"/>
  <c r="H26" i="11"/>
  <c r="G26" i="11"/>
  <c r="H21" i="11"/>
  <c r="G21" i="11"/>
  <c r="H17" i="11"/>
  <c r="G17" i="11"/>
  <c r="H13" i="11"/>
  <c r="F13" i="11" s="1"/>
  <c r="H76" i="11" s="1"/>
  <c r="G13" i="11"/>
  <c r="E13" i="11" s="1"/>
  <c r="H9" i="11"/>
  <c r="F9" i="11" s="1"/>
  <c r="G9" i="11"/>
  <c r="H5" i="11"/>
  <c r="G5" i="11"/>
  <c r="G18" i="11"/>
  <c r="E18" i="11" s="1"/>
  <c r="J57" i="11"/>
  <c r="G4" i="11"/>
  <c r="E4" i="11" s="1"/>
  <c r="E25" i="12"/>
  <c r="F25" i="12" s="1"/>
  <c r="G25" i="12" s="1"/>
  <c r="D27" i="12"/>
  <c r="J10" i="6"/>
  <c r="J9" i="6"/>
  <c r="G55" i="11" l="1"/>
  <c r="E55" i="11" s="1"/>
  <c r="H66" i="11"/>
  <c r="H55" i="11"/>
  <c r="F55" i="11" s="1"/>
  <c r="H67" i="11"/>
  <c r="F67" i="11" s="1"/>
  <c r="H40" i="11"/>
  <c r="F40" i="11" s="1"/>
  <c r="H48" i="11"/>
  <c r="J27" i="11"/>
  <c r="O27" i="5" s="1"/>
  <c r="F26" i="9" s="1"/>
  <c r="I18" i="11"/>
  <c r="H34" i="11"/>
  <c r="F34" i="11" s="1"/>
  <c r="H42" i="11"/>
  <c r="I4" i="11"/>
  <c r="H46" i="11"/>
  <c r="F46" i="11" s="1"/>
  <c r="H36" i="11" s="1"/>
  <c r="F36" i="11" s="1"/>
  <c r="H49" i="11"/>
  <c r="H50" i="11"/>
  <c r="F50" i="11" s="1"/>
  <c r="I22" i="11"/>
  <c r="I16" i="11"/>
  <c r="I7" i="11"/>
  <c r="H54" i="11"/>
  <c r="F54" i="11" s="1"/>
  <c r="H53" i="11"/>
  <c r="O24" i="5"/>
  <c r="F23" i="9" s="1"/>
  <c r="H23" i="9" s="1"/>
  <c r="O29" i="5"/>
  <c r="F29" i="9" s="1"/>
  <c r="H29" i="9" s="1"/>
  <c r="O33" i="5"/>
  <c r="O45" i="5"/>
  <c r="F82" i="9" s="1"/>
  <c r="H82" i="9" s="1"/>
  <c r="O49" i="5"/>
  <c r="F87" i="9" s="1"/>
  <c r="H87" i="9" s="1"/>
  <c r="O53" i="5"/>
  <c r="F64" i="9" s="1"/>
  <c r="H64" i="9" s="1"/>
  <c r="O66" i="5"/>
  <c r="F70" i="9" s="1"/>
  <c r="H70" i="9" s="1"/>
  <c r="O70" i="5"/>
  <c r="F43" i="9" s="1"/>
  <c r="H43" i="9" s="1"/>
  <c r="O74" i="5"/>
  <c r="F18" i="9" s="1"/>
  <c r="H18" i="9" s="1"/>
  <c r="O86" i="5"/>
  <c r="F6" i="9" s="1"/>
  <c r="H6" i="9" s="1"/>
  <c r="O44" i="5"/>
  <c r="F78" i="9" s="1"/>
  <c r="H78" i="9" s="1"/>
  <c r="O52" i="5"/>
  <c r="F63" i="9" s="1"/>
  <c r="H63" i="9" s="1"/>
  <c r="O61" i="5"/>
  <c r="F32" i="9" s="1"/>
  <c r="H32" i="9" s="1"/>
  <c r="O73" i="5"/>
  <c r="F17" i="9" s="1"/>
  <c r="H17" i="9" s="1"/>
  <c r="O5" i="5"/>
  <c r="F89" i="9" s="1"/>
  <c r="H89" i="9" s="1"/>
  <c r="O17" i="5"/>
  <c r="F3" i="9" s="1"/>
  <c r="H3" i="9" s="1"/>
  <c r="O21" i="5"/>
  <c r="F13" i="9" s="1"/>
  <c r="H13" i="9" s="1"/>
  <c r="O26" i="5"/>
  <c r="F25" i="9" s="1"/>
  <c r="H25" i="9" s="1"/>
  <c r="O30" i="5"/>
  <c r="F35" i="9" s="1"/>
  <c r="H35" i="9" s="1"/>
  <c r="O42" i="5"/>
  <c r="F73" i="9" s="1"/>
  <c r="H73" i="9" s="1"/>
  <c r="O59" i="5"/>
  <c r="F9" i="9" s="1"/>
  <c r="H9" i="9" s="1"/>
  <c r="O63" i="5"/>
  <c r="F34" i="9" s="1"/>
  <c r="H34" i="9" s="1"/>
  <c r="O75" i="5"/>
  <c r="F37" i="9" s="1"/>
  <c r="H37" i="9" s="1"/>
  <c r="O87" i="5"/>
  <c r="F31" i="9" s="1"/>
  <c r="H31" i="9" s="1"/>
  <c r="O57" i="5"/>
  <c r="F7" i="9" s="1"/>
  <c r="H7" i="9" s="1"/>
  <c r="O90" i="5"/>
  <c r="O6" i="5"/>
  <c r="F90" i="9" s="1"/>
  <c r="H90" i="9" s="1"/>
  <c r="O31" i="5"/>
  <c r="F58" i="9" s="1"/>
  <c r="H58" i="9" s="1"/>
  <c r="O43" i="5"/>
  <c r="F74" i="9" s="1"/>
  <c r="H74" i="9" s="1"/>
  <c r="O51" i="5"/>
  <c r="F62" i="9" s="1"/>
  <c r="H62" i="9" s="1"/>
  <c r="O56" i="5"/>
  <c r="F5" i="9" s="1"/>
  <c r="H5" i="9" s="1"/>
  <c r="O60" i="5"/>
  <c r="F30" i="9" s="1"/>
  <c r="H30" i="9" s="1"/>
  <c r="O64" i="5"/>
  <c r="F68" i="9" s="1"/>
  <c r="H68" i="9" s="1"/>
  <c r="O72" i="5"/>
  <c r="F16" i="9" s="1"/>
  <c r="H16" i="9" s="1"/>
  <c r="O76" i="5"/>
  <c r="F38" i="9" s="1"/>
  <c r="H38" i="9" s="1"/>
  <c r="O84" i="5"/>
  <c r="F19" i="9" s="1"/>
  <c r="H19" i="9" s="1"/>
  <c r="O28" i="5"/>
  <c r="F28" i="9" s="1"/>
  <c r="H28" i="9" s="1"/>
  <c r="O23" i="5"/>
  <c r="F22" i="9" s="1"/>
  <c r="H22" i="9" s="1"/>
  <c r="O32" i="5"/>
  <c r="F59" i="9" s="1"/>
  <c r="H59" i="9" s="1"/>
  <c r="O65" i="5"/>
  <c r="F69" i="9" s="1"/>
  <c r="H69" i="9" s="1"/>
  <c r="H59" i="11"/>
  <c r="H57" i="11"/>
  <c r="I13" i="11"/>
  <c r="H71" i="11"/>
  <c r="F71" i="11" s="1"/>
  <c r="I11" i="11"/>
  <c r="I8" i="11"/>
  <c r="I20" i="11"/>
  <c r="I19" i="11"/>
  <c r="H15" i="11"/>
  <c r="F15" i="11" s="1"/>
  <c r="H85" i="11" s="1"/>
  <c r="F85" i="11" s="1"/>
  <c r="H73" i="11"/>
  <c r="H63" i="11"/>
  <c r="H65" i="11"/>
  <c r="H60" i="11"/>
  <c r="H52" i="11"/>
  <c r="H75" i="11"/>
  <c r="H68" i="11"/>
  <c r="F68" i="11" s="1"/>
  <c r="H72" i="11"/>
  <c r="H58" i="11"/>
  <c r="F58" i="11" s="1"/>
  <c r="H74" i="11"/>
  <c r="H61" i="11"/>
  <c r="H56" i="11"/>
  <c r="H70" i="11"/>
  <c r="H62" i="11"/>
  <c r="F62" i="11" s="1"/>
  <c r="H64" i="11"/>
  <c r="H14" i="11"/>
  <c r="F14" i="11" s="1"/>
  <c r="H84" i="11" s="1"/>
  <c r="H69" i="11"/>
  <c r="F69" i="11" s="1"/>
  <c r="H38" i="11"/>
  <c r="F38" i="11" s="1"/>
  <c r="H37" i="11"/>
  <c r="F37" i="11" s="1"/>
  <c r="H35" i="11"/>
  <c r="F35" i="11" s="1"/>
  <c r="H41" i="11"/>
  <c r="F41" i="11" s="1"/>
  <c r="H39" i="11"/>
  <c r="F39" i="11" s="1"/>
  <c r="H44" i="11"/>
  <c r="H45" i="11"/>
  <c r="H47" i="11"/>
  <c r="F47" i="11" s="1"/>
  <c r="E9" i="11"/>
  <c r="I9" i="11" s="1"/>
  <c r="E10" i="11"/>
  <c r="I10" i="11" s="1"/>
  <c r="G12" i="11"/>
  <c r="E12" i="11" s="1"/>
  <c r="I12" i="11" s="1"/>
  <c r="E26" i="12"/>
  <c r="E27" i="12" s="1"/>
  <c r="F26" i="12"/>
  <c r="G26" i="12" s="1"/>
  <c r="D28" i="12"/>
  <c r="N24" i="5"/>
  <c r="C25" i="11" s="1"/>
  <c r="N30" i="5"/>
  <c r="G35" i="9" s="1"/>
  <c r="N86" i="5"/>
  <c r="G6" i="9" s="1"/>
  <c r="N87" i="5"/>
  <c r="G31" i="9" s="1"/>
  <c r="N9" i="5"/>
  <c r="N16" i="5"/>
  <c r="G2" i="9" s="1"/>
  <c r="N17" i="5"/>
  <c r="G3" i="9" s="1"/>
  <c r="N18" i="5"/>
  <c r="G11" i="9" s="1"/>
  <c r="N20" i="5"/>
  <c r="N21" i="5"/>
  <c r="G13" i="9" s="1"/>
  <c r="N22" i="5"/>
  <c r="N26" i="5"/>
  <c r="G25" i="9" s="1"/>
  <c r="M89" i="5"/>
  <c r="M88" i="5"/>
  <c r="M87" i="5"/>
  <c r="M86" i="5"/>
  <c r="M85" i="5"/>
  <c r="M84" i="5"/>
  <c r="M83" i="5"/>
  <c r="M82" i="5"/>
  <c r="M81" i="5"/>
  <c r="M80" i="5"/>
  <c r="M79" i="5"/>
  <c r="M78" i="5"/>
  <c r="M77" i="5"/>
  <c r="M76" i="5"/>
  <c r="M75" i="5"/>
  <c r="M74" i="5"/>
  <c r="M73" i="5"/>
  <c r="M72" i="5"/>
  <c r="M71" i="5"/>
  <c r="M70" i="5"/>
  <c r="M69" i="5"/>
  <c r="M68" i="5"/>
  <c r="M67" i="5"/>
  <c r="M66" i="5"/>
  <c r="M65" i="5"/>
  <c r="M64" i="5"/>
  <c r="M63" i="5"/>
  <c r="M62" i="5"/>
  <c r="M61" i="5"/>
  <c r="M60" i="5"/>
  <c r="M59" i="5"/>
  <c r="M58" i="5"/>
  <c r="M57" i="5"/>
  <c r="M56" i="5"/>
  <c r="M54" i="5"/>
  <c r="M53" i="5"/>
  <c r="M52" i="5"/>
  <c r="M51" i="5"/>
  <c r="M50" i="5"/>
  <c r="M49" i="5"/>
  <c r="M48" i="5"/>
  <c r="M47" i="5"/>
  <c r="M46" i="5"/>
  <c r="M45" i="5"/>
  <c r="M44" i="5"/>
  <c r="M43" i="5"/>
  <c r="M42" i="5"/>
  <c r="M41" i="5"/>
  <c r="M40" i="5"/>
  <c r="M39" i="5"/>
  <c r="M38" i="5"/>
  <c r="M37" i="5"/>
  <c r="M36" i="5"/>
  <c r="M35" i="5"/>
  <c r="M34" i="5"/>
  <c r="M33" i="5"/>
  <c r="M32" i="5"/>
  <c r="M31" i="5"/>
  <c r="M30" i="5"/>
  <c r="M29" i="5"/>
  <c r="M28" i="5"/>
  <c r="M27" i="5"/>
  <c r="M26" i="5"/>
  <c r="M24" i="5"/>
  <c r="M23" i="5"/>
  <c r="M22" i="5"/>
  <c r="M21" i="5"/>
  <c r="M20" i="5"/>
  <c r="M19" i="5"/>
  <c r="M18" i="5"/>
  <c r="M17" i="5"/>
  <c r="M16" i="5"/>
  <c r="M15" i="5"/>
  <c r="M14" i="5"/>
  <c r="M13" i="5"/>
  <c r="M12" i="5"/>
  <c r="M11" i="5"/>
  <c r="M10" i="5"/>
  <c r="M9" i="5"/>
  <c r="M8" i="5"/>
  <c r="M7" i="5"/>
  <c r="M6" i="5"/>
  <c r="M5" i="5"/>
  <c r="M4" i="5"/>
  <c r="G23" i="9" l="1"/>
  <c r="G15" i="9"/>
  <c r="C12" i="11"/>
  <c r="I55" i="11"/>
  <c r="J55" i="11" s="1"/>
  <c r="O55" i="5" s="1"/>
  <c r="F66" i="9" s="1"/>
  <c r="H82" i="11"/>
  <c r="F82" i="11" s="1"/>
  <c r="H80" i="11"/>
  <c r="F80" i="11" s="1"/>
  <c r="H83" i="11"/>
  <c r="F83" i="11" s="1"/>
  <c r="H78" i="11"/>
  <c r="F78" i="11" s="1"/>
  <c r="H77" i="11"/>
  <c r="F77" i="11" s="1"/>
  <c r="H79" i="11"/>
  <c r="F79" i="11" s="1"/>
  <c r="H90" i="11" s="1"/>
  <c r="H81" i="11"/>
  <c r="F81" i="11" s="1"/>
  <c r="J8" i="11"/>
  <c r="J16" i="11"/>
  <c r="O16" i="5" s="1"/>
  <c r="F2" i="9" s="1"/>
  <c r="H2" i="9" s="1"/>
  <c r="J18" i="11"/>
  <c r="O18" i="5" s="1"/>
  <c r="F11" i="9" s="1"/>
  <c r="H11" i="9" s="1"/>
  <c r="J10" i="11"/>
  <c r="J9" i="11"/>
  <c r="G53" i="11"/>
  <c r="G54" i="11"/>
  <c r="E54" i="11" s="1"/>
  <c r="I54" i="11" s="1"/>
  <c r="G51" i="11"/>
  <c r="G52" i="11"/>
  <c r="G50" i="11"/>
  <c r="E50" i="11" s="1"/>
  <c r="I50" i="11" s="1"/>
  <c r="G70" i="11"/>
  <c r="G14" i="11"/>
  <c r="E14" i="11" s="1"/>
  <c r="G69" i="11"/>
  <c r="E69" i="11" s="1"/>
  <c r="I69" i="11" s="1"/>
  <c r="G71" i="11"/>
  <c r="E71" i="11" s="1"/>
  <c r="I71" i="11" s="1"/>
  <c r="G68" i="11"/>
  <c r="E68" i="11" s="1"/>
  <c r="I68" i="11" s="1"/>
  <c r="G67" i="11"/>
  <c r="E67" i="11" s="1"/>
  <c r="I67" i="11" s="1"/>
  <c r="G76" i="11"/>
  <c r="G75" i="11"/>
  <c r="J20" i="11"/>
  <c r="J11" i="11"/>
  <c r="O11" i="5" s="1"/>
  <c r="J19" i="11"/>
  <c r="G64" i="11"/>
  <c r="G60" i="11"/>
  <c r="G57" i="11"/>
  <c r="G61" i="11"/>
  <c r="G62" i="11"/>
  <c r="E62" i="11" s="1"/>
  <c r="G65" i="11"/>
  <c r="G56" i="11"/>
  <c r="G63" i="11"/>
  <c r="G66" i="11"/>
  <c r="G58" i="11"/>
  <c r="E58" i="11" s="1"/>
  <c r="G59" i="11"/>
  <c r="G48" i="11"/>
  <c r="G44" i="11"/>
  <c r="G37" i="11"/>
  <c r="E37" i="11" s="1"/>
  <c r="I37" i="11" s="1"/>
  <c r="G47" i="11"/>
  <c r="E47" i="11" s="1"/>
  <c r="I47" i="11" s="1"/>
  <c r="G38" i="11"/>
  <c r="E38" i="11" s="1"/>
  <c r="I38" i="11" s="1"/>
  <c r="G49" i="11"/>
  <c r="G41" i="11"/>
  <c r="E41" i="11" s="1"/>
  <c r="I41" i="11" s="1"/>
  <c r="G42" i="11"/>
  <c r="G34" i="11"/>
  <c r="E34" i="11" s="1"/>
  <c r="I34" i="11" s="1"/>
  <c r="J4" i="11"/>
  <c r="O4" i="5" s="1"/>
  <c r="G40" i="11"/>
  <c r="E40" i="11" s="1"/>
  <c r="I40" i="11" s="1"/>
  <c r="G43" i="11"/>
  <c r="G45" i="11"/>
  <c r="G39" i="11"/>
  <c r="E39" i="11" s="1"/>
  <c r="I39" i="11" s="1"/>
  <c r="G46" i="11"/>
  <c r="E46" i="11" s="1"/>
  <c r="I46" i="11" s="1"/>
  <c r="G35" i="11"/>
  <c r="E35" i="11" s="1"/>
  <c r="I35" i="11" s="1"/>
  <c r="E28" i="12"/>
  <c r="E29" i="12" s="1"/>
  <c r="F27" i="12"/>
  <c r="G27" i="12" s="1"/>
  <c r="F28" i="12"/>
  <c r="G28" i="12" s="1"/>
  <c r="N28" i="5"/>
  <c r="G28" i="9" s="1"/>
  <c r="N13" i="5"/>
  <c r="N7" i="5"/>
  <c r="N49" i="5"/>
  <c r="G87" i="9" s="1"/>
  <c r="N45" i="5"/>
  <c r="G82" i="9" s="1"/>
  <c r="N34" i="5"/>
  <c r="G81" i="9" s="1"/>
  <c r="N41" i="5"/>
  <c r="G72" i="9" s="1"/>
  <c r="N48" i="5"/>
  <c r="G86" i="9" s="1"/>
  <c r="N44" i="5"/>
  <c r="G78" i="9" s="1"/>
  <c r="N40" i="5"/>
  <c r="G79" i="9" s="1"/>
  <c r="N47" i="5"/>
  <c r="G85" i="9" s="1"/>
  <c r="N43" i="5"/>
  <c r="G74" i="9" s="1"/>
  <c r="N35" i="5"/>
  <c r="G80" i="9" s="1"/>
  <c r="C22" i="10"/>
  <c r="C75" i="11" l="1"/>
  <c r="C76" i="11"/>
  <c r="C53" i="11"/>
  <c r="C50" i="11"/>
  <c r="N50" i="5" s="1"/>
  <c r="G61" i="9" s="1"/>
  <c r="C54" i="11"/>
  <c r="C51" i="11"/>
  <c r="C55" i="11"/>
  <c r="N55" i="5" s="1"/>
  <c r="G66" i="9" s="1"/>
  <c r="H66" i="9" s="1"/>
  <c r="C52" i="11"/>
  <c r="N54" i="5"/>
  <c r="G65" i="9" s="1"/>
  <c r="I58" i="11"/>
  <c r="J58" i="11" s="1"/>
  <c r="O58" i="5" s="1"/>
  <c r="F8" i="9" s="1"/>
  <c r="I62" i="11"/>
  <c r="J62" i="11" s="1"/>
  <c r="O62" i="5" s="1"/>
  <c r="F33" i="9" s="1"/>
  <c r="I14" i="11"/>
  <c r="O8" i="5"/>
  <c r="O9" i="5"/>
  <c r="O10" i="5"/>
  <c r="O20" i="5"/>
  <c r="O19" i="5"/>
  <c r="F12" i="9" s="1"/>
  <c r="H88" i="11"/>
  <c r="F88" i="11" s="1"/>
  <c r="H89" i="11"/>
  <c r="F89" i="11" s="1"/>
  <c r="J22" i="11"/>
  <c r="O22" i="5" s="1"/>
  <c r="F15" i="9" s="1"/>
  <c r="H15" i="9" s="1"/>
  <c r="J13" i="11"/>
  <c r="O13" i="5" s="1"/>
  <c r="J7" i="11"/>
  <c r="O7" i="5" s="1"/>
  <c r="G72" i="11"/>
  <c r="G73" i="11"/>
  <c r="G74" i="11"/>
  <c r="G15" i="11"/>
  <c r="E15" i="11" s="1"/>
  <c r="G84" i="11" s="1"/>
  <c r="N52" i="5"/>
  <c r="G63" i="9" s="1"/>
  <c r="N51" i="5"/>
  <c r="G62" i="9" s="1"/>
  <c r="N53" i="5"/>
  <c r="G64" i="9" s="1"/>
  <c r="N31" i="5"/>
  <c r="G58" i="9" s="1"/>
  <c r="N29" i="5"/>
  <c r="G29" i="9" s="1"/>
  <c r="N32" i="5"/>
  <c r="G59" i="9" s="1"/>
  <c r="N27" i="5"/>
  <c r="G26" i="9" s="1"/>
  <c r="H26" i="9" s="1"/>
  <c r="N33" i="5"/>
  <c r="N23" i="5"/>
  <c r="G22" i="9" s="1"/>
  <c r="N39" i="5"/>
  <c r="G77" i="9" s="1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E3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4" i="10"/>
  <c r="C5" i="10"/>
  <c r="C6" i="10"/>
  <c r="C7" i="10"/>
  <c r="C8" i="10"/>
  <c r="C9" i="10"/>
  <c r="C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I15" i="11" l="1"/>
  <c r="J15" i="11" s="1"/>
  <c r="O15" i="5" s="1"/>
  <c r="G85" i="11"/>
  <c r="E85" i="11" s="1"/>
  <c r="J12" i="11"/>
  <c r="O12" i="5" s="1"/>
  <c r="J40" i="11"/>
  <c r="O40" i="5" s="1"/>
  <c r="F79" i="9" s="1"/>
  <c r="H79" i="9" s="1"/>
  <c r="J37" i="11"/>
  <c r="O37" i="5" s="1"/>
  <c r="F75" i="9" s="1"/>
  <c r="J35" i="11"/>
  <c r="J39" i="11"/>
  <c r="O39" i="5" s="1"/>
  <c r="F77" i="9" s="1"/>
  <c r="H77" i="9" s="1"/>
  <c r="J47" i="11"/>
  <c r="O47" i="5" s="1"/>
  <c r="F85" i="9" s="1"/>
  <c r="H85" i="9" s="1"/>
  <c r="J50" i="11"/>
  <c r="O50" i="5" s="1"/>
  <c r="F61" i="9" s="1"/>
  <c r="H61" i="9" s="1"/>
  <c r="J38" i="11"/>
  <c r="O38" i="5" s="1"/>
  <c r="F76" i="9" s="1"/>
  <c r="G36" i="11"/>
  <c r="E36" i="11" s="1"/>
  <c r="I36" i="11" s="1"/>
  <c r="G79" i="11"/>
  <c r="E79" i="11" s="1"/>
  <c r="G81" i="11"/>
  <c r="E81" i="11" s="1"/>
  <c r="I81" i="11" s="1"/>
  <c r="G78" i="11"/>
  <c r="E78" i="11" s="1"/>
  <c r="I78" i="11" s="1"/>
  <c r="G80" i="11"/>
  <c r="E80" i="11" s="1"/>
  <c r="I80" i="11" s="1"/>
  <c r="G82" i="11"/>
  <c r="E82" i="11" s="1"/>
  <c r="I82" i="11" s="1"/>
  <c r="G77" i="11"/>
  <c r="E77" i="11" s="1"/>
  <c r="I77" i="11" s="1"/>
  <c r="G83" i="11"/>
  <c r="E83" i="11" s="1"/>
  <c r="I83" i="11" s="1"/>
  <c r="J67" i="11"/>
  <c r="J54" i="11"/>
  <c r="O54" i="5" s="1"/>
  <c r="F65" i="9" s="1"/>
  <c r="H65" i="9" s="1"/>
  <c r="A1" i="7"/>
  <c r="A2" i="7" s="1"/>
  <c r="I85" i="11" l="1"/>
  <c r="J85" i="11" s="1"/>
  <c r="O85" i="5" s="1"/>
  <c r="F20" i="9" s="1"/>
  <c r="I79" i="11"/>
  <c r="G90" i="11"/>
  <c r="O35" i="5"/>
  <c r="F80" i="9" s="1"/>
  <c r="H80" i="9" s="1"/>
  <c r="O48" i="5"/>
  <c r="F86" i="9" s="1"/>
  <c r="H86" i="9" s="1"/>
  <c r="J14" i="11"/>
  <c r="O14" i="5" s="1"/>
  <c r="J69" i="11"/>
  <c r="O69" i="5" s="1"/>
  <c r="F42" i="9" s="1"/>
  <c r="J46" i="11"/>
  <c r="O46" i="5" s="1"/>
  <c r="F83" i="9" s="1"/>
  <c r="J71" i="11"/>
  <c r="O71" i="5" s="1"/>
  <c r="F44" i="9" s="1"/>
  <c r="J34" i="11"/>
  <c r="O34" i="5" s="1"/>
  <c r="F81" i="9" s="1"/>
  <c r="H81" i="9" s="1"/>
  <c r="J68" i="11"/>
  <c r="O68" i="5" s="1"/>
  <c r="F41" i="9" s="1"/>
  <c r="J41" i="11"/>
  <c r="O41" i="5" s="1"/>
  <c r="F72" i="9" s="1"/>
  <c r="H72" i="9" s="1"/>
  <c r="A3" i="7"/>
  <c r="C29" i="6"/>
  <c r="B29" i="6"/>
  <c r="C28" i="6"/>
  <c r="B28" i="6"/>
  <c r="C27" i="6"/>
  <c r="B27" i="6"/>
  <c r="C26" i="6"/>
  <c r="B7" i="6"/>
  <c r="C3" i="6" s="1"/>
  <c r="B13" i="6" s="1"/>
  <c r="C10" i="6" s="1"/>
  <c r="O67" i="5" l="1"/>
  <c r="F40" i="9" s="1"/>
  <c r="J81" i="11"/>
  <c r="J36" i="11"/>
  <c r="O36" i="5" s="1"/>
  <c r="F84" i="9" s="1"/>
  <c r="J83" i="11"/>
  <c r="O83" i="5" s="1"/>
  <c r="F53" i="9" s="1"/>
  <c r="G89" i="11"/>
  <c r="E89" i="11" s="1"/>
  <c r="I89" i="11" s="1"/>
  <c r="G88" i="11"/>
  <c r="E88" i="11" s="1"/>
  <c r="I88" i="11" s="1"/>
  <c r="J78" i="11"/>
  <c r="J82" i="11"/>
  <c r="O82" i="5" s="1"/>
  <c r="F52" i="9" s="1"/>
  <c r="D29" i="6"/>
  <c r="E26" i="6"/>
  <c r="E27" i="6" s="1"/>
  <c r="E28" i="6" s="1"/>
  <c r="E29" i="6" s="1"/>
  <c r="F29" i="6" s="1"/>
  <c r="G29" i="6" s="1"/>
  <c r="D26" i="6"/>
  <c r="F26" i="6" s="1"/>
  <c r="G26" i="6" s="1"/>
  <c r="O81" i="5" l="1"/>
  <c r="F51" i="9" s="1"/>
  <c r="J80" i="11"/>
  <c r="O80" i="5" s="1"/>
  <c r="F50" i="9" s="1"/>
  <c r="J79" i="11"/>
  <c r="O79" i="5" s="1"/>
  <c r="F49" i="9" s="1"/>
  <c r="J77" i="11"/>
  <c r="O77" i="5" s="1"/>
  <c r="F45" i="9" s="1"/>
  <c r="D27" i="6"/>
  <c r="N75" i="5"/>
  <c r="G37" i="9" s="1"/>
  <c r="N76" i="5"/>
  <c r="G38" i="9" s="1"/>
  <c r="N42" i="5"/>
  <c r="G73" i="9" s="1"/>
  <c r="N38" i="5"/>
  <c r="G76" i="9" s="1"/>
  <c r="H76" i="9" s="1"/>
  <c r="N37" i="5"/>
  <c r="G75" i="9" s="1"/>
  <c r="H75" i="9" s="1"/>
  <c r="N8" i="5"/>
  <c r="N19" i="5"/>
  <c r="G12" i="9" s="1"/>
  <c r="H12" i="9" s="1"/>
  <c r="N10" i="5"/>
  <c r="N11" i="5"/>
  <c r="N12" i="5"/>
  <c r="N46" i="5"/>
  <c r="C36" i="11" s="1"/>
  <c r="C69" i="11" l="1"/>
  <c r="C70" i="11"/>
  <c r="C67" i="11"/>
  <c r="C71" i="11"/>
  <c r="N71" i="5" s="1"/>
  <c r="G44" i="9" s="1"/>
  <c r="H44" i="9" s="1"/>
  <c r="C68" i="11"/>
  <c r="C73" i="11"/>
  <c r="C74" i="11"/>
  <c r="C72" i="11"/>
  <c r="C57" i="11"/>
  <c r="C61" i="11"/>
  <c r="C65" i="11"/>
  <c r="C58" i="11"/>
  <c r="C62" i="11"/>
  <c r="C66" i="11"/>
  <c r="C59" i="11"/>
  <c r="C63" i="11"/>
  <c r="C56" i="11"/>
  <c r="C60" i="11"/>
  <c r="C64" i="11"/>
  <c r="N58" i="5"/>
  <c r="G8" i="9" s="1"/>
  <c r="H8" i="9" s="1"/>
  <c r="N69" i="5"/>
  <c r="G42" i="9" s="1"/>
  <c r="H42" i="9" s="1"/>
  <c r="N67" i="5"/>
  <c r="G40" i="9" s="1"/>
  <c r="H40" i="9" s="1"/>
  <c r="G83" i="9"/>
  <c r="H83" i="9" s="1"/>
  <c r="C15" i="11"/>
  <c r="N15" i="5" s="1"/>
  <c r="C14" i="11"/>
  <c r="N14" i="5" s="1"/>
  <c r="O78" i="5"/>
  <c r="F46" i="9" s="1"/>
  <c r="N70" i="5"/>
  <c r="G43" i="9" s="1"/>
  <c r="N36" i="5"/>
  <c r="G84" i="9" s="1"/>
  <c r="H84" i="9" s="1"/>
  <c r="J88" i="11"/>
  <c r="F27" i="6"/>
  <c r="G27" i="6" s="1"/>
  <c r="D28" i="6"/>
  <c r="F28" i="6" s="1"/>
  <c r="G28" i="6" s="1"/>
  <c r="N84" i="5"/>
  <c r="G19" i="9" s="1"/>
  <c r="N74" i="5"/>
  <c r="G18" i="9" s="1"/>
  <c r="N68" i="5"/>
  <c r="G41" i="9" s="1"/>
  <c r="H41" i="9" s="1"/>
  <c r="N61" i="5"/>
  <c r="G32" i="9" s="1"/>
  <c r="N60" i="5"/>
  <c r="C87" i="11" s="1"/>
  <c r="N56" i="5"/>
  <c r="G5" i="9" s="1"/>
  <c r="N59" i="5"/>
  <c r="G9" i="9" s="1"/>
  <c r="N57" i="5"/>
  <c r="G7" i="9" s="1"/>
  <c r="N62" i="5"/>
  <c r="G33" i="9" s="1"/>
  <c r="H33" i="9" s="1"/>
  <c r="N65" i="5"/>
  <c r="G69" i="9" s="1"/>
  <c r="N64" i="5"/>
  <c r="G68" i="9" s="1"/>
  <c r="N66" i="5"/>
  <c r="G70" i="9" s="1"/>
  <c r="N63" i="5"/>
  <c r="G34" i="9" s="1"/>
  <c r="N73" i="5"/>
  <c r="G17" i="9" s="1"/>
  <c r="N72" i="5"/>
  <c r="G16" i="9" s="1"/>
  <c r="C77" i="11" l="1"/>
  <c r="C81" i="11"/>
  <c r="C78" i="11"/>
  <c r="N78" i="5" s="1"/>
  <c r="C82" i="11"/>
  <c r="N82" i="5" s="1"/>
  <c r="G52" i="9" s="1"/>
  <c r="H52" i="9" s="1"/>
  <c r="C79" i="11"/>
  <c r="N79" i="5" s="1"/>
  <c r="G49" i="9" s="1"/>
  <c r="H49" i="9" s="1"/>
  <c r="C83" i="11"/>
  <c r="N83" i="5" s="1"/>
  <c r="G53" i="9" s="1"/>
  <c r="H53" i="9" s="1"/>
  <c r="C80" i="11"/>
  <c r="C85" i="11"/>
  <c r="C84" i="11"/>
  <c r="N81" i="5"/>
  <c r="G51" i="9" s="1"/>
  <c r="H51" i="9" s="1"/>
  <c r="N85" i="5"/>
  <c r="G20" i="9" s="1"/>
  <c r="H20" i="9" s="1"/>
  <c r="G30" i="9"/>
  <c r="N80" i="5"/>
  <c r="G50" i="9" s="1"/>
  <c r="H50" i="9" s="1"/>
  <c r="N77" i="5"/>
  <c r="G45" i="9" s="1"/>
  <c r="H45" i="9" s="1"/>
  <c r="J89" i="11"/>
  <c r="O89" i="5" s="1"/>
  <c r="F48" i="9" s="1"/>
  <c r="C89" i="11" l="1"/>
  <c r="N89" i="5" s="1"/>
  <c r="G48" i="9" s="1"/>
  <c r="H48" i="9" s="1"/>
  <c r="C88" i="11"/>
  <c r="N88" i="5" s="1"/>
  <c r="G47" i="9" s="1"/>
  <c r="G46" i="9"/>
  <c r="H46" i="9" s="1"/>
  <c r="O88" i="5"/>
  <c r="F47" i="9" s="1"/>
  <c r="H47" i="9" l="1"/>
</calcChain>
</file>

<file path=xl/sharedStrings.xml><?xml version="1.0" encoding="utf-8"?>
<sst xmlns="http://schemas.openxmlformats.org/spreadsheetml/2006/main" count="2390" uniqueCount="391">
  <si>
    <t>GL-A1</t>
  </si>
  <si>
    <t>GL-B1</t>
  </si>
  <si>
    <t>GL-B2</t>
  </si>
  <si>
    <t>GL-B3</t>
  </si>
  <si>
    <t>GL-B4</t>
  </si>
  <si>
    <t>GL-B5</t>
  </si>
  <si>
    <t>GL-B6</t>
  </si>
  <si>
    <t>GL-B7</t>
  </si>
  <si>
    <t>GL-B8</t>
  </si>
  <si>
    <t>GL-B9</t>
  </si>
  <si>
    <t>GL-C1</t>
  </si>
  <si>
    <t>GL-C2</t>
  </si>
  <si>
    <t>GL-C3</t>
  </si>
  <si>
    <t>GL-C4</t>
  </si>
  <si>
    <t>GL-C5</t>
  </si>
  <si>
    <t>GL-C6</t>
  </si>
  <si>
    <t>GL-C7</t>
  </si>
  <si>
    <t>GL-C8</t>
  </si>
  <si>
    <t>RD-A1</t>
  </si>
  <si>
    <t>RD-A2</t>
  </si>
  <si>
    <t>RD-A3</t>
  </si>
  <si>
    <t>RD-A4</t>
  </si>
  <si>
    <t>RD-A5</t>
  </si>
  <si>
    <t>RD-B1</t>
  </si>
  <si>
    <t>RD-B2</t>
  </si>
  <si>
    <t>RD-B3</t>
  </si>
  <si>
    <t>RD-B4</t>
  </si>
  <si>
    <t>RD-C1</t>
  </si>
  <si>
    <t>RD-C2</t>
  </si>
  <si>
    <t>RD-C3</t>
  </si>
  <si>
    <t>RD-C4</t>
  </si>
  <si>
    <t>RD-C5</t>
  </si>
  <si>
    <t>RD-C6</t>
  </si>
  <si>
    <t>RD-C7</t>
  </si>
  <si>
    <t>RD-C8</t>
  </si>
  <si>
    <t>RD-D1</t>
  </si>
  <si>
    <t>RD-D2</t>
  </si>
  <si>
    <t>RD-D3</t>
  </si>
  <si>
    <t>RD-D4</t>
  </si>
  <si>
    <t>RD-D5</t>
  </si>
  <si>
    <t>PR-A1</t>
  </si>
  <si>
    <t>PR-A2</t>
  </si>
  <si>
    <t>PR-A3</t>
  </si>
  <si>
    <t>PR-A4</t>
  </si>
  <si>
    <t>PR-A5</t>
  </si>
  <si>
    <t>PR-A6</t>
  </si>
  <si>
    <t>PR-A7</t>
  </si>
  <si>
    <t>GR-A1</t>
  </si>
  <si>
    <t>GR-B1</t>
  </si>
  <si>
    <t>GR-C1</t>
  </si>
  <si>
    <t>GR-C3</t>
  </si>
  <si>
    <t>GR-D1</t>
  </si>
  <si>
    <t>GR-E1</t>
  </si>
  <si>
    <t>GR-F1</t>
  </si>
  <si>
    <t>GR-G1</t>
  </si>
  <si>
    <t>GR-H1</t>
  </si>
  <si>
    <t>BL-A2</t>
  </si>
  <si>
    <t>BL-A3</t>
  </si>
  <si>
    <t>BL-B2</t>
  </si>
  <si>
    <t>BL-C2-D2</t>
  </si>
  <si>
    <t>BL-E2</t>
  </si>
  <si>
    <t>BL-E3</t>
  </si>
  <si>
    <t>BL-F2</t>
  </si>
  <si>
    <t>BL-G2</t>
  </si>
  <si>
    <t>MODULES</t>
  </si>
  <si>
    <t>Cabine</t>
  </si>
  <si>
    <t>E1</t>
  </si>
  <si>
    <t>E2</t>
  </si>
  <si>
    <t>-</t>
  </si>
  <si>
    <t>Tableau passage I</t>
  </si>
  <si>
    <t>Tableau passage II</t>
  </si>
  <si>
    <t>Tableau passage III</t>
  </si>
  <si>
    <t>Tableau terminal</t>
  </si>
  <si>
    <t>Compteur</t>
  </si>
  <si>
    <t>C4</t>
  </si>
  <si>
    <t>E22A</t>
  </si>
  <si>
    <t>C5</t>
  </si>
  <si>
    <t>C6</t>
  </si>
  <si>
    <t>C6.5.2RDC2</t>
  </si>
  <si>
    <t>C6.5.1RD-C2</t>
  </si>
  <si>
    <t>C7</t>
  </si>
  <si>
    <t>C1</t>
  </si>
  <si>
    <t>C3</t>
  </si>
  <si>
    <t>C8</t>
  </si>
  <si>
    <t>C9</t>
  </si>
  <si>
    <t>C10</t>
  </si>
  <si>
    <t>C2</t>
  </si>
  <si>
    <t>C11</t>
  </si>
  <si>
    <t>C11.1</t>
  </si>
  <si>
    <t>C6.5</t>
  </si>
  <si>
    <t>E22D</t>
  </si>
  <si>
    <t>E22B</t>
  </si>
  <si>
    <t>E22C</t>
  </si>
  <si>
    <t>T1</t>
  </si>
  <si>
    <t>C12</t>
  </si>
  <si>
    <t>T2</t>
  </si>
  <si>
    <t>C11.3</t>
  </si>
  <si>
    <t>C11.2</t>
  </si>
  <si>
    <t>PRA1</t>
  </si>
  <si>
    <t>C</t>
  </si>
  <si>
    <t>PRA2</t>
  </si>
  <si>
    <t>E21</t>
  </si>
  <si>
    <t>C6.3</t>
  </si>
  <si>
    <t>C6.4</t>
  </si>
  <si>
    <t>E22E</t>
  </si>
  <si>
    <t>C6.6</t>
  </si>
  <si>
    <t>C2.1</t>
  </si>
  <si>
    <t>C2.2</t>
  </si>
  <si>
    <t>C2.4</t>
  </si>
  <si>
    <t>C2 C6 C11</t>
  </si>
  <si>
    <t>C6.7</t>
  </si>
  <si>
    <t>C7.1</t>
  </si>
  <si>
    <t>C7.2</t>
  </si>
  <si>
    <t>E25</t>
  </si>
  <si>
    <t>C13</t>
  </si>
  <si>
    <t>C12.13</t>
  </si>
  <si>
    <t>E11</t>
  </si>
  <si>
    <t>C13.1</t>
  </si>
  <si>
    <t>C12.1</t>
  </si>
  <si>
    <t>C12.12</t>
  </si>
  <si>
    <t>C12.11</t>
  </si>
  <si>
    <t>C12.10</t>
  </si>
  <si>
    <t>C12.7</t>
  </si>
  <si>
    <t>C12.3</t>
  </si>
  <si>
    <t>C12.4</t>
  </si>
  <si>
    <t>C12.5</t>
  </si>
  <si>
    <t>C12.6</t>
  </si>
  <si>
    <t>C12.2</t>
  </si>
  <si>
    <t>C12.4.1</t>
  </si>
  <si>
    <t>E23</t>
  </si>
  <si>
    <t>C8.1</t>
  </si>
  <si>
    <t>C8.2</t>
  </si>
  <si>
    <t>C8.3</t>
  </si>
  <si>
    <t>TC5</t>
  </si>
  <si>
    <t>TC1</t>
  </si>
  <si>
    <t>C8.4</t>
  </si>
  <si>
    <t>C8.6</t>
  </si>
  <si>
    <t>E26</t>
  </si>
  <si>
    <t>TC4</t>
  </si>
  <si>
    <t>C8.7</t>
  </si>
  <si>
    <t>TC2</t>
  </si>
  <si>
    <t>TC3</t>
  </si>
  <si>
    <t>RD-A6</t>
  </si>
  <si>
    <t>C8.9</t>
  </si>
  <si>
    <t>C1.1</t>
  </si>
  <si>
    <t>C4.2</t>
  </si>
  <si>
    <t>C5.2</t>
  </si>
  <si>
    <t>C6.2</t>
  </si>
  <si>
    <t>C2.1.1</t>
  </si>
  <si>
    <t>C2.3</t>
  </si>
  <si>
    <t>C5.1</t>
  </si>
  <si>
    <t>C5.3</t>
  </si>
  <si>
    <t>C5.4</t>
  </si>
  <si>
    <t>BL-C2/D2</t>
  </si>
  <si>
    <t>BL-F2/G2</t>
  </si>
  <si>
    <t>C6.1</t>
  </si>
  <si>
    <t>C6.3.1</t>
  </si>
  <si>
    <t>C8.5</t>
  </si>
  <si>
    <t>C8.8</t>
  </si>
  <si>
    <t>C8.10</t>
  </si>
  <si>
    <t>RD-A1 (reserve)</t>
  </si>
  <si>
    <t>TCD3</t>
  </si>
  <si>
    <t>C8.7.1</t>
  </si>
  <si>
    <t>C8.7.2</t>
  </si>
  <si>
    <t>WC1</t>
  </si>
  <si>
    <t>WC2</t>
  </si>
  <si>
    <t>C9.1</t>
  </si>
  <si>
    <t>GR-D1/E1</t>
  </si>
  <si>
    <t>SOD</t>
  </si>
  <si>
    <t>RD-D1/D3</t>
  </si>
  <si>
    <t>C4.1</t>
  </si>
  <si>
    <t>C4.3</t>
  </si>
  <si>
    <t>Réception</t>
  </si>
  <si>
    <t>Plans</t>
  </si>
  <si>
    <t>C12.8</t>
  </si>
  <si>
    <t>C12.9</t>
  </si>
  <si>
    <t>GL-B10</t>
  </si>
  <si>
    <t>GL-B8/B9</t>
  </si>
  <si>
    <t>GL-B1/C1</t>
  </si>
  <si>
    <t>OK</t>
  </si>
  <si>
    <t>TFO</t>
  </si>
  <si>
    <t>kVA</t>
  </si>
  <si>
    <t>UCC</t>
  </si>
  <si>
    <t>ICC</t>
  </si>
  <si>
    <t>E22</t>
  </si>
  <si>
    <t>E24</t>
  </si>
  <si>
    <t>ICC (kA)</t>
  </si>
  <si>
    <t>Longueur</t>
  </si>
  <si>
    <t>Section</t>
  </si>
  <si>
    <t>PCC (kVA)</t>
  </si>
  <si>
    <t>HUILE</t>
  </si>
  <si>
    <t>C10.1</t>
  </si>
  <si>
    <t>C10.2</t>
  </si>
  <si>
    <t>C10.3</t>
  </si>
  <si>
    <t>C10.4</t>
  </si>
  <si>
    <t>GL-B3/B4</t>
  </si>
  <si>
    <t>LOCAL</t>
  </si>
  <si>
    <t>C8.11</t>
  </si>
  <si>
    <t>C8.12</t>
  </si>
  <si>
    <t>GL - C7</t>
  </si>
  <si>
    <t>GL - C6</t>
  </si>
  <si>
    <t>Reserve</t>
  </si>
  <si>
    <t>PE</t>
  </si>
  <si>
    <t>RDA3</t>
  </si>
  <si>
    <t>GRG1</t>
  </si>
  <si>
    <t>GRF1</t>
  </si>
  <si>
    <t>RDA5</t>
  </si>
  <si>
    <t>RDA4</t>
  </si>
  <si>
    <t>GLC6</t>
  </si>
  <si>
    <t>PE100</t>
  </si>
  <si>
    <t>PE102</t>
  </si>
  <si>
    <t>PE104</t>
  </si>
  <si>
    <t>H1</t>
  </si>
  <si>
    <t>G2</t>
  </si>
  <si>
    <t>BLB2</t>
  </si>
  <si>
    <t>BLA2</t>
  </si>
  <si>
    <t>BLA3</t>
  </si>
  <si>
    <t>PE106</t>
  </si>
  <si>
    <t>PR-A8</t>
  </si>
  <si>
    <t>C4.4</t>
  </si>
  <si>
    <t>C4.5</t>
  </si>
  <si>
    <t>commun</t>
  </si>
  <si>
    <t>E27</t>
  </si>
  <si>
    <t>Terre</t>
  </si>
  <si>
    <t>N° terre</t>
  </si>
  <si>
    <t>Section câble arrivée</t>
  </si>
  <si>
    <t>L arrivée (m)</t>
  </si>
  <si>
    <t>4*35</t>
  </si>
  <si>
    <t>PCC</t>
  </si>
  <si>
    <t>Puissance de court circuit</t>
  </si>
  <si>
    <t>Pcc</t>
  </si>
  <si>
    <t>en kVA</t>
  </si>
  <si>
    <t>Tension de court circuit</t>
  </si>
  <si>
    <t>Ucc</t>
  </si>
  <si>
    <t>en %</t>
  </si>
  <si>
    <t>Puissance nominale</t>
  </si>
  <si>
    <t>Pn</t>
  </si>
  <si>
    <t xml:space="preserve">Pcc = </t>
  </si>
  <si>
    <t>Courant de court circuit</t>
  </si>
  <si>
    <t>Icc</t>
  </si>
  <si>
    <t>en kA</t>
  </si>
  <si>
    <t>Tension secondaire</t>
  </si>
  <si>
    <t>Un</t>
  </si>
  <si>
    <t>en V</t>
  </si>
  <si>
    <t>Icc =</t>
  </si>
  <si>
    <t>L</t>
  </si>
  <si>
    <t>S</t>
  </si>
  <si>
    <t>Cable 1</t>
  </si>
  <si>
    <t>Cable 2</t>
  </si>
  <si>
    <t>Cable 3</t>
  </si>
  <si>
    <t>Cable 4</t>
  </si>
  <si>
    <t>X</t>
  </si>
  <si>
    <t>R total</t>
  </si>
  <si>
    <t>X total</t>
  </si>
  <si>
    <t>Z total</t>
  </si>
  <si>
    <t>transfo</t>
  </si>
  <si>
    <t>cable 1</t>
  </si>
  <si>
    <t>cable 2</t>
  </si>
  <si>
    <t>cable 3</t>
  </si>
  <si>
    <t>cable 4</t>
  </si>
  <si>
    <t>3*50+25</t>
  </si>
  <si>
    <t>3*35+16</t>
  </si>
  <si>
    <t>4*25</t>
  </si>
  <si>
    <t>5G16</t>
  </si>
  <si>
    <t>4*10</t>
  </si>
  <si>
    <t>E12</t>
  </si>
  <si>
    <t>TC6</t>
  </si>
  <si>
    <t>TC7</t>
  </si>
  <si>
    <t>0201</t>
  </si>
  <si>
    <t>2201/1</t>
  </si>
  <si>
    <t>0202</t>
  </si>
  <si>
    <t>0203</t>
  </si>
  <si>
    <t>0204</t>
  </si>
  <si>
    <t>0205</t>
  </si>
  <si>
    <t>0206</t>
  </si>
  <si>
    <t>2401</t>
  </si>
  <si>
    <t>2701</t>
  </si>
  <si>
    <t>2402</t>
  </si>
  <si>
    <t>2403</t>
  </si>
  <si>
    <t>2702</t>
  </si>
  <si>
    <t>0207</t>
  </si>
  <si>
    <t>0208</t>
  </si>
  <si>
    <t>0209</t>
  </si>
  <si>
    <t>0210</t>
  </si>
  <si>
    <t>0211</t>
  </si>
  <si>
    <t>0212</t>
  </si>
  <si>
    <t>2205</t>
  </si>
  <si>
    <t>2205/1</t>
  </si>
  <si>
    <t>2206</t>
  </si>
  <si>
    <t>2207</t>
  </si>
  <si>
    <t>2208</t>
  </si>
  <si>
    <t>0213</t>
  </si>
  <si>
    <t>2501</t>
  </si>
  <si>
    <t>2502</t>
  </si>
  <si>
    <t>2301</t>
  </si>
  <si>
    <t>2302</t>
  </si>
  <si>
    <t>2303</t>
  </si>
  <si>
    <t>2304</t>
  </si>
  <si>
    <t>2305</t>
  </si>
  <si>
    <t>2601</t>
  </si>
  <si>
    <t>2602</t>
  </si>
  <si>
    <t>2603</t>
  </si>
  <si>
    <t>2604</t>
  </si>
  <si>
    <t>2605</t>
  </si>
  <si>
    <t>2606</t>
  </si>
  <si>
    <t>2607</t>
  </si>
  <si>
    <t>0214</t>
  </si>
  <si>
    <t>0215</t>
  </si>
  <si>
    <t>2101</t>
  </si>
  <si>
    <t>2102</t>
  </si>
  <si>
    <t>2103</t>
  </si>
  <si>
    <t>2104</t>
  </si>
  <si>
    <t>2209</t>
  </si>
  <si>
    <t>2210</t>
  </si>
  <si>
    <t>2211</t>
  </si>
  <si>
    <t>5G4</t>
  </si>
  <si>
    <t>1103</t>
  </si>
  <si>
    <t>1104</t>
  </si>
  <si>
    <t>1105</t>
  </si>
  <si>
    <t>1106</t>
  </si>
  <si>
    <t>1107</t>
  </si>
  <si>
    <t>1102</t>
  </si>
  <si>
    <t>1101</t>
  </si>
  <si>
    <t>1108</t>
  </si>
  <si>
    <t>1109</t>
  </si>
  <si>
    <t>1110</t>
  </si>
  <si>
    <t>1111</t>
  </si>
  <si>
    <t>1112</t>
  </si>
  <si>
    <t>1113</t>
  </si>
  <si>
    <t>1115</t>
  </si>
  <si>
    <t>1114</t>
  </si>
  <si>
    <t>0101</t>
  </si>
  <si>
    <t>0102</t>
  </si>
  <si>
    <t>0216</t>
  </si>
  <si>
    <t>1116</t>
  </si>
  <si>
    <t>TC8</t>
  </si>
  <si>
    <t>2602/1</t>
  </si>
  <si>
    <t>2602/2</t>
  </si>
  <si>
    <t>3G2,5</t>
  </si>
  <si>
    <t>ΔV</t>
  </si>
  <si>
    <t>LC</t>
  </si>
  <si>
    <t>N° Arr</t>
  </si>
  <si>
    <t>L Arr</t>
  </si>
  <si>
    <t>S Arr</t>
  </si>
  <si>
    <t>Δ%</t>
  </si>
  <si>
    <t>COS φ</t>
  </si>
  <si>
    <t>→</t>
  </si>
  <si>
    <t>C T</t>
  </si>
  <si>
    <t>IN</t>
  </si>
  <si>
    <t>IN (A)</t>
  </si>
  <si>
    <t>C10.5</t>
  </si>
  <si>
    <t>4*16</t>
  </si>
  <si>
    <t>C10.6</t>
  </si>
  <si>
    <t>Dépôt</t>
  </si>
  <si>
    <t xml:space="preserve">Compteur </t>
  </si>
  <si>
    <t>Prot In</t>
  </si>
  <si>
    <t>Type</t>
  </si>
  <si>
    <t>EXVB</t>
  </si>
  <si>
    <t>N° conducteurs</t>
  </si>
  <si>
    <t>Tenant</t>
  </si>
  <si>
    <t>Aboutissant</t>
  </si>
  <si>
    <t>G OU X</t>
  </si>
  <si>
    <t>Neutre</t>
  </si>
  <si>
    <t>0150</t>
  </si>
  <si>
    <t>XVB</t>
  </si>
  <si>
    <t>coéficient cos</t>
  </si>
  <si>
    <t>G</t>
  </si>
  <si>
    <t>2105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</si>
  <si>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</si>
  <si>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</si>
  <si>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</si>
  <si>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</si>
  <si>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</si>
  <si>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</si>
  <si>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</si>
  <si>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</si>
  <si>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</si>
  <si>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Δ% Câble</t>
  </si>
  <si>
    <r>
      <t>R (m</t>
    </r>
    <r>
      <rPr>
        <sz val="11"/>
        <color theme="1"/>
        <rFont val="Calibri"/>
        <family val="2"/>
      </rPr>
      <t>Ω)</t>
    </r>
  </si>
  <si>
    <t>X (mΩ)</t>
  </si>
  <si>
    <t>calcul Δ% Total</t>
  </si>
  <si>
    <t>R aval (mΩ)</t>
  </si>
  <si>
    <t>X aval (mΩ)</t>
  </si>
  <si>
    <t>ZT (mΩ)</t>
  </si>
  <si>
    <r>
      <t>R t (m</t>
    </r>
    <r>
      <rPr>
        <sz val="11"/>
        <color theme="1"/>
        <rFont val="Calibri"/>
        <family val="2"/>
      </rPr>
      <t>Ω)</t>
    </r>
  </si>
  <si>
    <r>
      <t>X t (m</t>
    </r>
    <r>
      <rPr>
        <sz val="11"/>
        <color theme="1"/>
        <rFont val="Calibri"/>
        <family val="2"/>
      </rPr>
      <t>Ω)</t>
    </r>
  </si>
  <si>
    <t>code dévérouillage : clement</t>
  </si>
  <si>
    <t>Δ% Aboutissant</t>
  </si>
  <si>
    <t>Icc Aboutissant</t>
  </si>
  <si>
    <t>2106</t>
  </si>
  <si>
    <t>0208/1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</si>
</sst>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d/mm/yyyy;@"/>
    <numFmt numFmtId="166" formatCode="dd/mm/yyyy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49" fontId="0" fillId="0" borderId="1" xfId="0" applyNumberFormat="1" applyBorder="1"/>
    <xf numFmtId="0" fontId="0" fillId="0" borderId="1" xfId="0" applyBorder="1" applyAlignment="1">
      <alignment textRotation="90"/>
    </xf>
    <xf numFmtId="0" fontId="0" fillId="0" borderId="1" xfId="0" applyBorder="1" applyAlignment="1">
      <alignment horizontal="center" vertical="center" textRotation="90"/>
    </xf>
    <xf numFmtId="49" fontId="0" fillId="0" borderId="1" xfId="0" applyNumberFormat="1" applyBorder="1" applyAlignment="1">
      <alignment textRotation="90"/>
    </xf>
    <xf numFmtId="49" fontId="0" fillId="0" borderId="1" xfId="0" applyNumberFormat="1" applyBorder="1" applyAlignment="1">
      <alignment horizontal="center" textRotation="90"/>
    </xf>
    <xf numFmtId="0" fontId="0" fillId="0" borderId="0" xfId="0" applyAlignment="1">
      <alignment textRotation="90"/>
    </xf>
    <xf numFmtId="0" fontId="0" fillId="0" borderId="0" xfId="0" applyBorder="1"/>
    <xf numFmtId="0" fontId="0" fillId="0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0" xfId="1" applyNumberFormat="1" applyFont="1" applyAlignment="1">
      <alignment horizontal="center"/>
    </xf>
    <xf numFmtId="0" fontId="0" fillId="0" borderId="1" xfId="0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2" fontId="0" fillId="0" borderId="0" xfId="0" applyNumberFormat="1"/>
    <xf numFmtId="0" fontId="0" fillId="0" borderId="0" xfId="0" applyBorder="1" applyAlignment="1"/>
    <xf numFmtId="0" fontId="2" fillId="0" borderId="0" xfId="0" applyFont="1" applyBorder="1"/>
    <xf numFmtId="0" fontId="0" fillId="0" borderId="12" xfId="0" applyBorder="1" applyAlignment="1">
      <alignment horizontal="center"/>
    </xf>
    <xf numFmtId="0" fontId="0" fillId="0" borderId="2" xfId="0" applyBorder="1"/>
    <xf numFmtId="2" fontId="0" fillId="0" borderId="1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165" fontId="0" fillId="0" borderId="0" xfId="0" applyNumberFormat="1"/>
    <xf numFmtId="166" fontId="0" fillId="0" borderId="1" xfId="0" applyNumberFormat="1" applyBorder="1" applyAlignment="1">
      <alignment horizontal="center"/>
    </xf>
    <xf numFmtId="166" fontId="0" fillId="0" borderId="12" xfId="0" applyNumberFormat="1" applyBorder="1" applyAlignment="1">
      <alignment horizontal="center"/>
    </xf>
    <xf numFmtId="166" fontId="0" fillId="0" borderId="0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 vertical="top"/>
    </xf>
    <xf numFmtId="166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12" xfId="0" applyBorder="1" applyAlignment="1">
      <alignment vertical="center"/>
    </xf>
    <xf numFmtId="0" fontId="0" fillId="0" borderId="2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0" xfId="0" applyBorder="1" applyAlignment="1">
      <alignment horizontal="left" vertical="center" wrapText="1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 vertical="center"/>
    </xf>
    <xf numFmtId="2" fontId="0" fillId="0" borderId="1" xfId="0" applyNumberFormat="1" applyBorder="1" applyAlignment="1">
      <alignment horizontal="left"/>
    </xf>
    <xf numFmtId="14" fontId="0" fillId="0" borderId="0" xfId="0" applyNumberFormat="1"/>
    <xf numFmtId="166" fontId="0" fillId="0" borderId="0" xfId="0" applyNumberFormat="1"/>
    <xf numFmtId="0" fontId="3" fillId="0" borderId="0" xfId="0" applyFont="1"/>
    <xf numFmtId="0" fontId="0" fillId="0" borderId="0" xfId="0" applyNumberFormat="1"/>
    <xf numFmtId="0" fontId="0" fillId="0" borderId="1" xfId="0" applyNumberFormat="1" applyBorder="1"/>
    <xf numFmtId="166" fontId="0" fillId="0" borderId="1" xfId="0" applyNumberFormat="1" applyBorder="1"/>
    <xf numFmtId="0" fontId="0" fillId="0" borderId="0" xfId="0" applyAlignment="1">
      <alignment horizontal="center" vertical="center" textRotation="90"/>
    </xf>
    <xf numFmtId="0" fontId="0" fillId="0" borderId="1" xfId="0" applyBorder="1" applyAlignment="1">
      <alignment vertical="center"/>
    </xf>
    <xf numFmtId="0" fontId="0" fillId="0" borderId="12" xfId="0" applyBorder="1"/>
    <xf numFmtId="2" fontId="0" fillId="0" borderId="0" xfId="0" applyNumberFormat="1" applyAlignment="1">
      <alignment horizontal="center" vertical="center" textRotation="90"/>
    </xf>
    <xf numFmtId="2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quotePrefix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 textRotation="90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4" xfId="0" applyBorder="1" applyAlignment="1">
      <alignment horizontal="center"/>
    </xf>
    <xf numFmtId="2" fontId="0" fillId="0" borderId="14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14" xfId="0" applyBorder="1" applyAlignment="1">
      <alignment horizontal="left"/>
    </xf>
    <xf numFmtId="166" fontId="0" fillId="0" borderId="14" xfId="0" applyNumberFormat="1" applyBorder="1" applyAlignment="1">
      <alignment horizontal="center"/>
    </xf>
    <xf numFmtId="0" fontId="0" fillId="0" borderId="16" xfId="0" applyBorder="1" applyAlignment="1">
      <alignment horizontal="left"/>
    </xf>
    <xf numFmtId="166" fontId="0" fillId="0" borderId="16" xfId="0" applyNumberFormat="1" applyBorder="1" applyAlignment="1">
      <alignment horizontal="center"/>
    </xf>
    <xf numFmtId="0" fontId="0" fillId="0" borderId="16" xfId="0" applyBorder="1"/>
    <xf numFmtId="0" fontId="0" fillId="0" borderId="5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13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D44"/>
  <sheetViews>
    <sheetView topLeftCell="A28" workbookViewId="0">
      <selection activeCell="F35" sqref="F35"/>
    </sheetView>
  </sheetViews>
  <sheetFormatPr baseColWidth="10" defaultRowHeight="15" x14ac:dyDescent="0.25"/>
  <cols>
    <col min="1" max="1" width="3.85546875" customWidth="1"/>
    <col min="2" max="2" width="3.7109375" customWidth="1"/>
    <col min="4" max="4" width="11.42578125" style="14"/>
  </cols>
  <sheetData>
    <row r="5" spans="1:2" x14ac:dyDescent="0.25">
      <c r="A5" t="s">
        <v>202</v>
      </c>
      <c r="B5">
        <v>1</v>
      </c>
    </row>
    <row r="7" spans="1:2" x14ac:dyDescent="0.25">
      <c r="A7" t="s">
        <v>202</v>
      </c>
      <c r="B7">
        <v>100</v>
      </c>
    </row>
    <row r="8" spans="1:2" x14ac:dyDescent="0.25">
      <c r="A8" t="s">
        <v>202</v>
      </c>
      <c r="B8">
        <v>101</v>
      </c>
    </row>
    <row r="9" spans="1:2" x14ac:dyDescent="0.25">
      <c r="A9" t="s">
        <v>202</v>
      </c>
      <c r="B9">
        <v>102</v>
      </c>
    </row>
    <row r="10" spans="1:2" x14ac:dyDescent="0.25">
      <c r="A10" t="s">
        <v>202</v>
      </c>
      <c r="B10">
        <v>103</v>
      </c>
    </row>
    <row r="11" spans="1:2" x14ac:dyDescent="0.25">
      <c r="A11" t="s">
        <v>202</v>
      </c>
      <c r="B11">
        <v>104</v>
      </c>
    </row>
    <row r="12" spans="1:2" x14ac:dyDescent="0.25">
      <c r="A12" t="s">
        <v>202</v>
      </c>
      <c r="B12">
        <v>105</v>
      </c>
    </row>
    <row r="13" spans="1:2" x14ac:dyDescent="0.25">
      <c r="A13" t="s">
        <v>202</v>
      </c>
      <c r="B13">
        <v>106</v>
      </c>
    </row>
    <row r="14" spans="1:2" x14ac:dyDescent="0.25">
      <c r="A14" t="s">
        <v>202</v>
      </c>
      <c r="B14">
        <v>107</v>
      </c>
    </row>
    <row r="15" spans="1:2" x14ac:dyDescent="0.25">
      <c r="A15" t="s">
        <v>202</v>
      </c>
      <c r="B15">
        <v>108</v>
      </c>
    </row>
    <row r="16" spans="1:2" x14ac:dyDescent="0.25">
      <c r="A16" t="s">
        <v>202</v>
      </c>
      <c r="B16">
        <v>109</v>
      </c>
    </row>
    <row r="17" spans="1:4" x14ac:dyDescent="0.25">
      <c r="A17" t="s">
        <v>202</v>
      </c>
      <c r="B17">
        <v>110</v>
      </c>
    </row>
    <row r="19" spans="1:4" x14ac:dyDescent="0.25">
      <c r="A19" t="s">
        <v>202</v>
      </c>
      <c r="B19">
        <v>200</v>
      </c>
    </row>
    <row r="20" spans="1:4" x14ac:dyDescent="0.25">
      <c r="A20" t="s">
        <v>202</v>
      </c>
      <c r="B20">
        <v>201</v>
      </c>
    </row>
    <row r="21" spans="1:4" x14ac:dyDescent="0.25">
      <c r="A21" t="s">
        <v>202</v>
      </c>
      <c r="B21">
        <v>202</v>
      </c>
    </row>
    <row r="22" spans="1:4" x14ac:dyDescent="0.25">
      <c r="A22" t="s">
        <v>202</v>
      </c>
      <c r="B22">
        <v>203</v>
      </c>
    </row>
    <row r="23" spans="1:4" x14ac:dyDescent="0.25">
      <c r="A23" t="s">
        <v>202</v>
      </c>
      <c r="B23">
        <v>204</v>
      </c>
    </row>
    <row r="24" spans="1:4" x14ac:dyDescent="0.25">
      <c r="A24" t="s">
        <v>202</v>
      </c>
      <c r="B24">
        <v>205</v>
      </c>
      <c r="C24" t="s">
        <v>209</v>
      </c>
      <c r="D24" s="14" t="s">
        <v>205</v>
      </c>
    </row>
    <row r="25" spans="1:4" x14ac:dyDescent="0.25">
      <c r="A25" t="s">
        <v>202</v>
      </c>
      <c r="B25">
        <v>206</v>
      </c>
      <c r="C25" t="s">
        <v>209</v>
      </c>
      <c r="D25" s="14" t="s">
        <v>204</v>
      </c>
    </row>
    <row r="26" spans="1:4" x14ac:dyDescent="0.25">
      <c r="A26" t="s">
        <v>202</v>
      </c>
      <c r="B26">
        <v>207</v>
      </c>
    </row>
    <row r="27" spans="1:4" x14ac:dyDescent="0.25">
      <c r="A27" t="s">
        <v>202</v>
      </c>
      <c r="B27">
        <v>208</v>
      </c>
    </row>
    <row r="28" spans="1:4" x14ac:dyDescent="0.25">
      <c r="A28" t="s">
        <v>202</v>
      </c>
      <c r="B28">
        <v>209</v>
      </c>
    </row>
    <row r="29" spans="1:4" x14ac:dyDescent="0.25">
      <c r="A29" t="s">
        <v>202</v>
      </c>
      <c r="B29">
        <v>210</v>
      </c>
    </row>
    <row r="30" spans="1:4" x14ac:dyDescent="0.25">
      <c r="A30" t="s">
        <v>202</v>
      </c>
      <c r="B30">
        <v>211</v>
      </c>
    </row>
    <row r="31" spans="1:4" x14ac:dyDescent="0.25">
      <c r="A31" t="s">
        <v>202</v>
      </c>
      <c r="B31">
        <v>212</v>
      </c>
    </row>
    <row r="32" spans="1:4" x14ac:dyDescent="0.25">
      <c r="A32" t="s">
        <v>202</v>
      </c>
      <c r="B32">
        <v>213</v>
      </c>
      <c r="C32" t="s">
        <v>211</v>
      </c>
      <c r="D32" s="14" t="s">
        <v>214</v>
      </c>
    </row>
    <row r="33" spans="1:4" x14ac:dyDescent="0.25">
      <c r="A33" t="s">
        <v>202</v>
      </c>
      <c r="B33">
        <v>214</v>
      </c>
      <c r="C33" t="s">
        <v>211</v>
      </c>
      <c r="D33" s="14" t="s">
        <v>215</v>
      </c>
    </row>
    <row r="34" spans="1:4" x14ac:dyDescent="0.25">
      <c r="A34" t="s">
        <v>202</v>
      </c>
      <c r="B34">
        <v>215</v>
      </c>
      <c r="C34" t="s">
        <v>211</v>
      </c>
      <c r="D34" s="14" t="s">
        <v>216</v>
      </c>
    </row>
    <row r="35" spans="1:4" x14ac:dyDescent="0.25">
      <c r="A35" t="s">
        <v>202</v>
      </c>
      <c r="B35">
        <v>235</v>
      </c>
      <c r="D35" s="14" t="s">
        <v>208</v>
      </c>
    </row>
    <row r="36" spans="1:4" x14ac:dyDescent="0.25">
      <c r="A36" t="s">
        <v>202</v>
      </c>
      <c r="B36">
        <v>240</v>
      </c>
      <c r="C36" t="s">
        <v>210</v>
      </c>
      <c r="D36" s="14" t="s">
        <v>207</v>
      </c>
    </row>
    <row r="37" spans="1:4" x14ac:dyDescent="0.25">
      <c r="A37" t="s">
        <v>202</v>
      </c>
      <c r="B37">
        <v>241</v>
      </c>
      <c r="C37" t="s">
        <v>217</v>
      </c>
      <c r="D37" s="14" t="s">
        <v>203</v>
      </c>
    </row>
    <row r="38" spans="1:4" x14ac:dyDescent="0.25">
      <c r="A38" t="s">
        <v>202</v>
      </c>
      <c r="B38">
        <v>248</v>
      </c>
      <c r="C38" t="s">
        <v>210</v>
      </c>
      <c r="D38" s="14" t="s">
        <v>206</v>
      </c>
    </row>
    <row r="39" spans="1:4" x14ac:dyDescent="0.25">
      <c r="A39" t="s">
        <v>202</v>
      </c>
      <c r="B39">
        <v>300</v>
      </c>
      <c r="C39" t="s">
        <v>67</v>
      </c>
      <c r="D39" s="14" t="s">
        <v>212</v>
      </c>
    </row>
    <row r="41" spans="1:4" x14ac:dyDescent="0.25">
      <c r="A41" t="s">
        <v>202</v>
      </c>
      <c r="B41">
        <v>400</v>
      </c>
    </row>
    <row r="42" spans="1:4" x14ac:dyDescent="0.25">
      <c r="A42" t="s">
        <v>202</v>
      </c>
      <c r="B42">
        <v>401</v>
      </c>
    </row>
    <row r="43" spans="1:4" x14ac:dyDescent="0.25">
      <c r="A43" t="s">
        <v>202</v>
      </c>
      <c r="B43">
        <v>410</v>
      </c>
      <c r="C43" t="s">
        <v>212</v>
      </c>
      <c r="D43" s="14" t="s">
        <v>212</v>
      </c>
    </row>
    <row r="44" spans="1:4" x14ac:dyDescent="0.25">
      <c r="B44">
        <v>411</v>
      </c>
      <c r="C44" t="s">
        <v>212</v>
      </c>
      <c r="D44" s="14" t="s">
        <v>213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5"/>
  <sheetViews>
    <sheetView showWhiteSpace="0" view="pageLayout" topLeftCell="A67" zoomScaleNormal="100" workbookViewId="0">
      <selection activeCell="L6" sqref="L6"/>
    </sheetView>
  </sheetViews>
  <sheetFormatPr baseColWidth="10" defaultRowHeight="15" x14ac:dyDescent="0.25"/>
  <cols>
    <col min="1" max="1" width="2.7109375" customWidth="1"/>
    <col min="2" max="2" width="13" style="1" customWidth="1"/>
    <col min="3" max="3" width="1.85546875" customWidth="1"/>
    <col min="4" max="4" width="6.42578125" customWidth="1"/>
    <col min="5" max="5" width="9.28515625" style="3" bestFit="1" customWidth="1"/>
    <col min="6" max="6" width="9.28515625" style="3" customWidth="1"/>
    <col min="7" max="7" width="1.7109375" style="3" customWidth="1"/>
    <col min="8" max="8" width="6.28515625" style="3" customWidth="1"/>
    <col min="9" max="9" width="13.85546875" style="3" bestFit="1" customWidth="1"/>
    <col min="10" max="10" width="1.85546875" style="3" customWidth="1"/>
    <col min="11" max="11" width="7.7109375" style="3" customWidth="1"/>
    <col min="12" max="12" width="14.28515625" style="3" bestFit="1" customWidth="1"/>
    <col min="13" max="13" width="1.85546875" style="3" customWidth="1"/>
    <col min="14" max="14" width="14.7109375" style="3" bestFit="1" customWidth="1"/>
    <col min="15" max="15" width="1.85546875" customWidth="1"/>
    <col min="16" max="16" width="3" bestFit="1" customWidth="1"/>
    <col min="17" max="17" width="13.5703125" bestFit="1" customWidth="1"/>
  </cols>
  <sheetData>
    <row r="1" spans="1:17" s="11" customFormat="1" ht="76.5" customHeight="1" x14ac:dyDescent="0.25">
      <c r="A1" s="7"/>
      <c r="B1" s="8" t="s">
        <v>64</v>
      </c>
      <c r="C1" s="7"/>
      <c r="D1" s="7" t="s">
        <v>65</v>
      </c>
      <c r="E1" s="9" t="s">
        <v>73</v>
      </c>
      <c r="F1" s="9"/>
      <c r="G1" s="9"/>
      <c r="H1" s="9"/>
      <c r="I1" s="10" t="s">
        <v>69</v>
      </c>
      <c r="J1" s="9"/>
      <c r="K1" s="9"/>
      <c r="L1" s="10" t="s">
        <v>70</v>
      </c>
      <c r="M1" s="9"/>
      <c r="N1" s="10" t="s">
        <v>71</v>
      </c>
      <c r="O1" s="7"/>
      <c r="P1" s="7"/>
      <c r="Q1" s="7" t="s">
        <v>72</v>
      </c>
    </row>
    <row r="2" spans="1:17" x14ac:dyDescent="0.25">
      <c r="A2" s="4">
        <v>1</v>
      </c>
      <c r="B2" s="5" t="s">
        <v>0</v>
      </c>
      <c r="C2" s="4"/>
      <c r="D2" s="4" t="s">
        <v>66</v>
      </c>
      <c r="E2" s="6" t="s">
        <v>114</v>
      </c>
      <c r="F2" s="6"/>
      <c r="G2" s="6" t="s">
        <v>68</v>
      </c>
      <c r="H2" s="6"/>
      <c r="I2" s="6"/>
      <c r="J2" s="6" t="s">
        <v>68</v>
      </c>
      <c r="K2" s="6"/>
      <c r="L2" s="6"/>
      <c r="M2" s="6" t="s">
        <v>68</v>
      </c>
      <c r="N2" s="6"/>
      <c r="O2" s="4" t="s">
        <v>68</v>
      </c>
      <c r="P2" s="4"/>
      <c r="Q2" s="5" t="s">
        <v>0</v>
      </c>
    </row>
    <row r="3" spans="1:17" x14ac:dyDescent="0.25">
      <c r="A3" s="4">
        <v>2</v>
      </c>
      <c r="B3" s="5" t="s">
        <v>1</v>
      </c>
      <c r="C3" s="4"/>
      <c r="D3" s="4" t="s">
        <v>66</v>
      </c>
      <c r="E3" s="6" t="s">
        <v>94</v>
      </c>
      <c r="F3" s="6"/>
      <c r="G3" s="6" t="s">
        <v>68</v>
      </c>
      <c r="H3" s="6" t="s">
        <v>115</v>
      </c>
      <c r="I3" s="6" t="s">
        <v>116</v>
      </c>
      <c r="J3" s="6" t="s">
        <v>68</v>
      </c>
      <c r="K3" s="6"/>
      <c r="L3" s="6"/>
      <c r="M3" s="6" t="s">
        <v>68</v>
      </c>
      <c r="N3" s="6"/>
      <c r="O3" s="4" t="s">
        <v>68</v>
      </c>
      <c r="P3" s="4"/>
      <c r="Q3" s="5" t="s">
        <v>1</v>
      </c>
    </row>
    <row r="4" spans="1:17" x14ac:dyDescent="0.25">
      <c r="A4" s="4">
        <v>3</v>
      </c>
      <c r="B4" s="5" t="s">
        <v>2</v>
      </c>
      <c r="C4" s="4"/>
      <c r="D4" s="4" t="s">
        <v>66</v>
      </c>
      <c r="E4" s="6" t="s">
        <v>94</v>
      </c>
      <c r="F4" s="6"/>
      <c r="G4" s="6" t="s">
        <v>68</v>
      </c>
      <c r="H4" s="6" t="s">
        <v>118</v>
      </c>
      <c r="I4" s="6" t="s">
        <v>116</v>
      </c>
      <c r="J4" s="6" t="s">
        <v>68</v>
      </c>
      <c r="K4" s="6"/>
      <c r="L4" s="6"/>
      <c r="M4" s="6" t="s">
        <v>68</v>
      </c>
      <c r="N4" s="6"/>
      <c r="O4" s="4" t="s">
        <v>68</v>
      </c>
      <c r="P4" s="4"/>
      <c r="Q4" s="5" t="s">
        <v>2</v>
      </c>
    </row>
    <row r="5" spans="1:17" x14ac:dyDescent="0.25">
      <c r="A5" s="4">
        <v>4</v>
      </c>
      <c r="B5" s="5" t="s">
        <v>3</v>
      </c>
      <c r="C5" s="4"/>
      <c r="D5" s="4" t="s">
        <v>66</v>
      </c>
      <c r="E5" s="6" t="s">
        <v>94</v>
      </c>
      <c r="F5" s="6"/>
      <c r="G5" s="6" t="s">
        <v>68</v>
      </c>
      <c r="H5" s="6"/>
      <c r="I5" s="6"/>
      <c r="J5" s="6" t="s">
        <v>68</v>
      </c>
      <c r="K5" s="6"/>
      <c r="L5" s="6"/>
      <c r="M5" s="6" t="s">
        <v>68</v>
      </c>
      <c r="N5" s="6"/>
      <c r="O5" s="4" t="s">
        <v>68</v>
      </c>
      <c r="P5" s="4"/>
      <c r="Q5" s="5" t="s">
        <v>3</v>
      </c>
    </row>
    <row r="6" spans="1:17" x14ac:dyDescent="0.25">
      <c r="A6" s="4">
        <v>5</v>
      </c>
      <c r="B6" s="5" t="s">
        <v>4</v>
      </c>
      <c r="C6" s="4"/>
      <c r="D6" s="4" t="s">
        <v>66</v>
      </c>
      <c r="E6" s="6" t="s">
        <v>94</v>
      </c>
      <c r="F6" s="6"/>
      <c r="G6" s="6" t="s">
        <v>68</v>
      </c>
      <c r="H6" s="6"/>
      <c r="I6" s="6"/>
      <c r="J6" s="6" t="s">
        <v>68</v>
      </c>
      <c r="K6" s="6"/>
      <c r="L6" s="6"/>
      <c r="M6" s="6" t="s">
        <v>68</v>
      </c>
      <c r="N6" s="6"/>
      <c r="O6" s="4" t="s">
        <v>68</v>
      </c>
      <c r="P6" s="4"/>
      <c r="Q6" s="5" t="s">
        <v>4</v>
      </c>
    </row>
    <row r="7" spans="1:17" x14ac:dyDescent="0.25">
      <c r="A7" s="4">
        <v>6</v>
      </c>
      <c r="B7" s="5" t="s">
        <v>5</v>
      </c>
      <c r="C7" s="4"/>
      <c r="D7" s="4" t="s">
        <v>66</v>
      </c>
      <c r="E7" s="6" t="s">
        <v>114</v>
      </c>
      <c r="F7" s="6" t="s">
        <v>117</v>
      </c>
      <c r="G7" s="6" t="s">
        <v>68</v>
      </c>
      <c r="H7" s="6"/>
      <c r="I7" s="6"/>
      <c r="J7" s="6" t="s">
        <v>68</v>
      </c>
      <c r="K7" s="6"/>
      <c r="L7" s="6"/>
      <c r="M7" s="6" t="s">
        <v>68</v>
      </c>
      <c r="N7" s="6"/>
      <c r="O7" s="4" t="s">
        <v>68</v>
      </c>
      <c r="P7" s="4"/>
      <c r="Q7" s="5" t="s">
        <v>5</v>
      </c>
    </row>
    <row r="8" spans="1:17" x14ac:dyDescent="0.25">
      <c r="A8" s="4">
        <v>7</v>
      </c>
      <c r="B8" s="5" t="s">
        <v>6</v>
      </c>
      <c r="C8" s="4"/>
      <c r="D8" s="4" t="s">
        <v>66</v>
      </c>
      <c r="E8" s="6" t="s">
        <v>94</v>
      </c>
      <c r="F8" s="6"/>
      <c r="G8" s="6" t="s">
        <v>68</v>
      </c>
      <c r="H8" s="6" t="s">
        <v>127</v>
      </c>
      <c r="I8" s="6" t="s">
        <v>116</v>
      </c>
      <c r="J8" s="6" t="s">
        <v>68</v>
      </c>
      <c r="K8" s="6"/>
      <c r="L8" s="6"/>
      <c r="M8" s="6" t="s">
        <v>68</v>
      </c>
      <c r="N8" s="6"/>
      <c r="O8" s="4" t="s">
        <v>68</v>
      </c>
      <c r="P8" s="4"/>
      <c r="Q8" s="5" t="s">
        <v>6</v>
      </c>
    </row>
    <row r="9" spans="1:17" x14ac:dyDescent="0.25">
      <c r="A9" s="4">
        <v>8</v>
      </c>
      <c r="B9" s="5" t="s">
        <v>7</v>
      </c>
      <c r="C9" s="4"/>
      <c r="D9" s="4" t="s">
        <v>66</v>
      </c>
      <c r="E9" s="6" t="s">
        <v>94</v>
      </c>
      <c r="F9" s="6"/>
      <c r="G9" s="6" t="s">
        <v>68</v>
      </c>
      <c r="H9" s="6" t="s">
        <v>122</v>
      </c>
      <c r="I9" s="6" t="s">
        <v>116</v>
      </c>
      <c r="J9" s="6" t="s">
        <v>68</v>
      </c>
      <c r="K9" s="6"/>
      <c r="L9" s="6"/>
      <c r="M9" s="6" t="s">
        <v>68</v>
      </c>
      <c r="N9" s="6"/>
      <c r="O9" s="4" t="s">
        <v>68</v>
      </c>
      <c r="P9" s="4"/>
      <c r="Q9" s="5" t="s">
        <v>7</v>
      </c>
    </row>
    <row r="10" spans="1:17" x14ac:dyDescent="0.25">
      <c r="A10" s="4">
        <v>9</v>
      </c>
      <c r="B10" s="5" t="s">
        <v>8</v>
      </c>
      <c r="C10" s="4"/>
      <c r="D10" s="4" t="s">
        <v>66</v>
      </c>
      <c r="E10" s="6" t="s">
        <v>94</v>
      </c>
      <c r="F10" s="6"/>
      <c r="G10" s="6" t="s">
        <v>68</v>
      </c>
      <c r="H10" s="6" t="s">
        <v>120</v>
      </c>
      <c r="I10" s="6" t="s">
        <v>116</v>
      </c>
      <c r="J10" s="6" t="s">
        <v>68</v>
      </c>
      <c r="K10" s="6"/>
      <c r="L10" s="6"/>
      <c r="M10" s="6" t="s">
        <v>68</v>
      </c>
      <c r="N10" s="6"/>
      <c r="O10" s="4" t="s">
        <v>68</v>
      </c>
      <c r="P10" s="4"/>
      <c r="Q10" s="5" t="s">
        <v>8</v>
      </c>
    </row>
    <row r="11" spans="1:17" x14ac:dyDescent="0.25">
      <c r="A11" s="4">
        <v>10</v>
      </c>
      <c r="B11" s="5" t="s">
        <v>9</v>
      </c>
      <c r="C11" s="4"/>
      <c r="D11" s="4" t="s">
        <v>66</v>
      </c>
      <c r="E11" s="6" t="s">
        <v>94</v>
      </c>
      <c r="F11" s="6"/>
      <c r="G11" s="6" t="s">
        <v>68</v>
      </c>
      <c r="H11" s="6" t="s">
        <v>120</v>
      </c>
      <c r="I11" s="6" t="s">
        <v>116</v>
      </c>
      <c r="J11" s="6" t="s">
        <v>68</v>
      </c>
      <c r="K11" s="6"/>
      <c r="L11" s="6"/>
      <c r="M11" s="6" t="s">
        <v>68</v>
      </c>
      <c r="N11" s="6"/>
      <c r="O11" s="4" t="s">
        <v>68</v>
      </c>
      <c r="P11" s="4"/>
      <c r="Q11" s="5" t="s">
        <v>9</v>
      </c>
    </row>
    <row r="12" spans="1:17" x14ac:dyDescent="0.25">
      <c r="A12" s="4">
        <v>11</v>
      </c>
      <c r="B12" s="5" t="s">
        <v>10</v>
      </c>
      <c r="C12" s="4"/>
      <c r="D12" s="4" t="s">
        <v>66</v>
      </c>
      <c r="E12" s="6" t="s">
        <v>94</v>
      </c>
      <c r="F12" s="6"/>
      <c r="G12" s="6" t="s">
        <v>68</v>
      </c>
      <c r="H12" s="6" t="s">
        <v>115</v>
      </c>
      <c r="I12" s="6" t="s">
        <v>116</v>
      </c>
      <c r="J12" s="6" t="s">
        <v>68</v>
      </c>
      <c r="K12" s="6"/>
      <c r="L12" s="6"/>
      <c r="M12" s="6" t="s">
        <v>68</v>
      </c>
      <c r="N12" s="6"/>
      <c r="O12" s="4" t="s">
        <v>68</v>
      </c>
      <c r="P12" s="4"/>
      <c r="Q12" s="5" t="s">
        <v>10</v>
      </c>
    </row>
    <row r="13" spans="1:17" x14ac:dyDescent="0.25">
      <c r="A13" s="4">
        <v>12</v>
      </c>
      <c r="B13" s="5" t="s">
        <v>11</v>
      </c>
      <c r="C13" s="4"/>
      <c r="D13" s="4" t="s">
        <v>66</v>
      </c>
      <c r="E13" s="6" t="s">
        <v>94</v>
      </c>
      <c r="F13" s="6"/>
      <c r="G13" s="6" t="s">
        <v>68</v>
      </c>
      <c r="H13" s="6" t="s">
        <v>121</v>
      </c>
      <c r="I13" s="6" t="s">
        <v>116</v>
      </c>
      <c r="J13" s="6" t="s">
        <v>68</v>
      </c>
      <c r="K13" s="6"/>
      <c r="L13" s="6"/>
      <c r="M13" s="6" t="s">
        <v>68</v>
      </c>
      <c r="N13" s="6"/>
      <c r="O13" s="4" t="s">
        <v>68</v>
      </c>
      <c r="P13" s="4"/>
      <c r="Q13" s="5" t="s">
        <v>11</v>
      </c>
    </row>
    <row r="14" spans="1:17" x14ac:dyDescent="0.25">
      <c r="A14" s="4">
        <v>13</v>
      </c>
      <c r="B14" s="5" t="s">
        <v>12</v>
      </c>
      <c r="C14" s="4"/>
      <c r="D14" s="4" t="s">
        <v>66</v>
      </c>
      <c r="E14" s="6" t="s">
        <v>94</v>
      </c>
      <c r="F14" s="6"/>
      <c r="G14" s="6" t="s">
        <v>68</v>
      </c>
      <c r="H14" s="6" t="s">
        <v>125</v>
      </c>
      <c r="I14" s="6" t="s">
        <v>116</v>
      </c>
      <c r="J14" s="6" t="s">
        <v>68</v>
      </c>
      <c r="K14" s="6"/>
      <c r="L14" s="6"/>
      <c r="M14" s="6" t="s">
        <v>68</v>
      </c>
      <c r="N14" s="6"/>
      <c r="O14" s="4" t="s">
        <v>68</v>
      </c>
      <c r="P14" s="4"/>
      <c r="Q14" s="5" t="s">
        <v>12</v>
      </c>
    </row>
    <row r="15" spans="1:17" x14ac:dyDescent="0.25">
      <c r="A15" s="4">
        <v>14</v>
      </c>
      <c r="B15" s="5" t="s">
        <v>13</v>
      </c>
      <c r="C15" s="4"/>
      <c r="D15" s="4" t="s">
        <v>66</v>
      </c>
      <c r="E15" s="6" t="s">
        <v>94</v>
      </c>
      <c r="F15" s="6"/>
      <c r="G15" s="6" t="s">
        <v>68</v>
      </c>
      <c r="H15" s="6" t="s">
        <v>125</v>
      </c>
      <c r="I15" s="6" t="s">
        <v>116</v>
      </c>
      <c r="J15" s="6" t="s">
        <v>68</v>
      </c>
      <c r="K15" s="6"/>
      <c r="L15" s="6"/>
      <c r="M15" s="6" t="s">
        <v>68</v>
      </c>
      <c r="N15" s="6"/>
      <c r="O15" s="4" t="s">
        <v>68</v>
      </c>
      <c r="P15" s="4"/>
      <c r="Q15" s="5" t="s">
        <v>13</v>
      </c>
    </row>
    <row r="16" spans="1:17" x14ac:dyDescent="0.25">
      <c r="A16" s="4">
        <v>15</v>
      </c>
      <c r="B16" s="5" t="s">
        <v>14</v>
      </c>
      <c r="C16" s="4"/>
      <c r="D16" s="4" t="s">
        <v>66</v>
      </c>
      <c r="E16" s="6" t="s">
        <v>94</v>
      </c>
      <c r="F16" s="6"/>
      <c r="G16" s="6" t="s">
        <v>68</v>
      </c>
      <c r="H16" s="6" t="s">
        <v>126</v>
      </c>
      <c r="I16" s="6" t="s">
        <v>116</v>
      </c>
      <c r="J16" s="6" t="s">
        <v>68</v>
      </c>
      <c r="K16" s="6"/>
      <c r="L16" s="6"/>
      <c r="M16" s="6" t="s">
        <v>68</v>
      </c>
      <c r="N16" s="6"/>
      <c r="O16" s="4" t="s">
        <v>68</v>
      </c>
      <c r="P16" s="4"/>
      <c r="Q16" s="5" t="s">
        <v>14</v>
      </c>
    </row>
    <row r="17" spans="1:17" x14ac:dyDescent="0.25">
      <c r="A17" s="4">
        <v>16</v>
      </c>
      <c r="B17" s="5" t="s">
        <v>15</v>
      </c>
      <c r="C17" s="4"/>
      <c r="D17" s="4" t="s">
        <v>66</v>
      </c>
      <c r="E17" s="6" t="s">
        <v>94</v>
      </c>
      <c r="F17" s="6"/>
      <c r="G17" s="6" t="s">
        <v>68</v>
      </c>
      <c r="H17" s="6" t="s">
        <v>124</v>
      </c>
      <c r="I17" s="6" t="s">
        <v>116</v>
      </c>
      <c r="J17" s="6" t="s">
        <v>68</v>
      </c>
      <c r="K17" s="6" t="s">
        <v>128</v>
      </c>
      <c r="L17" s="6"/>
      <c r="M17" s="6" t="s">
        <v>68</v>
      </c>
      <c r="N17" s="6"/>
      <c r="O17" s="4" t="s">
        <v>68</v>
      </c>
      <c r="P17" s="4"/>
      <c r="Q17" s="5" t="s">
        <v>15</v>
      </c>
    </row>
    <row r="18" spans="1:17" x14ac:dyDescent="0.25">
      <c r="A18" s="4">
        <v>17</v>
      </c>
      <c r="B18" s="5" t="s">
        <v>16</v>
      </c>
      <c r="C18" s="4"/>
      <c r="D18" s="4" t="s">
        <v>66</v>
      </c>
      <c r="E18" s="6" t="s">
        <v>94</v>
      </c>
      <c r="F18" s="6"/>
      <c r="G18" s="6" t="s">
        <v>68</v>
      </c>
      <c r="H18" s="6" t="s">
        <v>124</v>
      </c>
      <c r="I18" s="6" t="s">
        <v>116</v>
      </c>
      <c r="J18" s="6" t="s">
        <v>68</v>
      </c>
      <c r="K18" s="6"/>
      <c r="L18" s="6"/>
      <c r="M18" s="6" t="s">
        <v>68</v>
      </c>
      <c r="N18" s="6"/>
      <c r="O18" s="4" t="s">
        <v>68</v>
      </c>
      <c r="P18" s="4"/>
      <c r="Q18" s="5" t="s">
        <v>16</v>
      </c>
    </row>
    <row r="19" spans="1:17" x14ac:dyDescent="0.25">
      <c r="A19" s="4">
        <v>18</v>
      </c>
      <c r="B19" s="5" t="s">
        <v>17</v>
      </c>
      <c r="C19" s="4"/>
      <c r="D19" s="4" t="s">
        <v>66</v>
      </c>
      <c r="E19" s="6" t="s">
        <v>94</v>
      </c>
      <c r="F19" s="6"/>
      <c r="G19" s="6" t="s">
        <v>68</v>
      </c>
      <c r="H19" s="6" t="s">
        <v>123</v>
      </c>
      <c r="I19" s="6" t="s">
        <v>116</v>
      </c>
      <c r="J19" s="6" t="s">
        <v>68</v>
      </c>
      <c r="K19" s="6"/>
      <c r="L19" s="6"/>
      <c r="M19" s="6" t="s">
        <v>68</v>
      </c>
      <c r="N19" s="6"/>
      <c r="O19" s="4" t="s">
        <v>68</v>
      </c>
      <c r="P19" s="4"/>
      <c r="Q19" s="5" t="s">
        <v>17</v>
      </c>
    </row>
    <row r="20" spans="1:17" x14ac:dyDescent="0.25">
      <c r="A20" s="4">
        <v>19</v>
      </c>
      <c r="B20" s="5" t="s">
        <v>18</v>
      </c>
      <c r="C20" s="4"/>
      <c r="D20" s="4" t="s">
        <v>67</v>
      </c>
      <c r="E20" s="6" t="s">
        <v>83</v>
      </c>
      <c r="F20" s="6"/>
      <c r="G20" s="6" t="s">
        <v>68</v>
      </c>
      <c r="H20" s="6" t="s">
        <v>135</v>
      </c>
      <c r="I20" s="6" t="s">
        <v>129</v>
      </c>
      <c r="J20" s="6" t="s">
        <v>68</v>
      </c>
      <c r="K20" s="6"/>
      <c r="L20" s="6"/>
      <c r="M20" s="6" t="s">
        <v>68</v>
      </c>
      <c r="N20" s="6"/>
      <c r="O20" s="4" t="s">
        <v>68</v>
      </c>
      <c r="P20" s="4"/>
      <c r="Q20" s="5" t="s">
        <v>18</v>
      </c>
    </row>
    <row r="21" spans="1:17" x14ac:dyDescent="0.25">
      <c r="A21" s="4">
        <v>20</v>
      </c>
      <c r="B21" s="5" t="s">
        <v>19</v>
      </c>
      <c r="C21" s="4"/>
      <c r="D21" s="4" t="s">
        <v>67</v>
      </c>
      <c r="E21" s="6" t="s">
        <v>83</v>
      </c>
      <c r="F21" s="6"/>
      <c r="G21" s="6" t="s">
        <v>68</v>
      </c>
      <c r="H21" s="6" t="s">
        <v>130</v>
      </c>
      <c r="I21" s="6" t="s">
        <v>129</v>
      </c>
      <c r="J21" s="6" t="s">
        <v>68</v>
      </c>
      <c r="K21" s="6"/>
      <c r="L21" s="6"/>
      <c r="M21" s="6" t="s">
        <v>68</v>
      </c>
      <c r="N21" s="6"/>
      <c r="O21" s="4" t="s">
        <v>68</v>
      </c>
      <c r="P21" s="4"/>
      <c r="Q21" s="5" t="s">
        <v>19</v>
      </c>
    </row>
    <row r="22" spans="1:17" x14ac:dyDescent="0.25">
      <c r="A22" s="4">
        <v>21</v>
      </c>
      <c r="B22" s="5" t="s">
        <v>20</v>
      </c>
      <c r="C22" s="4"/>
      <c r="D22" s="4" t="s">
        <v>66</v>
      </c>
      <c r="E22" s="6"/>
      <c r="F22" s="6"/>
      <c r="G22" s="6" t="s">
        <v>68</v>
      </c>
      <c r="H22" s="6"/>
      <c r="I22" s="6"/>
      <c r="J22" s="6" t="s">
        <v>68</v>
      </c>
      <c r="K22" s="6"/>
      <c r="L22" s="6"/>
      <c r="M22" s="6" t="s">
        <v>68</v>
      </c>
      <c r="N22" s="6"/>
      <c r="O22" s="4" t="s">
        <v>68</v>
      </c>
      <c r="P22" s="4"/>
      <c r="Q22" s="5" t="s">
        <v>20</v>
      </c>
    </row>
    <row r="23" spans="1:17" x14ac:dyDescent="0.25">
      <c r="A23" s="4">
        <v>22</v>
      </c>
      <c r="B23" s="5" t="s">
        <v>21</v>
      </c>
      <c r="C23" s="4"/>
      <c r="D23" s="4" t="s">
        <v>67</v>
      </c>
      <c r="E23" s="6" t="s">
        <v>83</v>
      </c>
      <c r="F23" s="6"/>
      <c r="G23" s="6" t="s">
        <v>68</v>
      </c>
      <c r="H23" s="6" t="s">
        <v>131</v>
      </c>
      <c r="I23" s="6" t="s">
        <v>129</v>
      </c>
      <c r="J23" s="6" t="s">
        <v>68</v>
      </c>
      <c r="K23" s="6"/>
      <c r="L23" s="6"/>
      <c r="M23" s="6" t="s">
        <v>68</v>
      </c>
      <c r="N23" s="6"/>
      <c r="O23" s="4" t="s">
        <v>68</v>
      </c>
      <c r="P23" s="4"/>
      <c r="Q23" s="5" t="s">
        <v>21</v>
      </c>
    </row>
    <row r="24" spans="1:17" x14ac:dyDescent="0.25">
      <c r="A24" s="4">
        <v>23</v>
      </c>
      <c r="B24" s="5" t="s">
        <v>22</v>
      </c>
      <c r="C24" s="4"/>
      <c r="D24" s="4" t="s">
        <v>67</v>
      </c>
      <c r="E24" s="6" t="s">
        <v>83</v>
      </c>
      <c r="F24" s="6"/>
      <c r="G24" s="6" t="s">
        <v>68</v>
      </c>
      <c r="H24" s="6" t="s">
        <v>132</v>
      </c>
      <c r="I24" s="6" t="s">
        <v>129</v>
      </c>
      <c r="J24" s="6" t="s">
        <v>68</v>
      </c>
      <c r="K24" s="6"/>
      <c r="L24" s="6"/>
      <c r="M24" s="6" t="s">
        <v>68</v>
      </c>
      <c r="N24" s="6"/>
      <c r="O24" s="4" t="s">
        <v>68</v>
      </c>
      <c r="P24" s="4"/>
      <c r="Q24" s="5" t="s">
        <v>22</v>
      </c>
    </row>
    <row r="25" spans="1:17" x14ac:dyDescent="0.25">
      <c r="A25" s="4">
        <v>24</v>
      </c>
      <c r="B25" s="5" t="s">
        <v>142</v>
      </c>
      <c r="C25" s="4"/>
      <c r="D25" s="4" t="s">
        <v>67</v>
      </c>
      <c r="E25" s="6" t="s">
        <v>83</v>
      </c>
      <c r="F25" s="6"/>
      <c r="G25" s="6"/>
      <c r="H25" s="6"/>
      <c r="I25" s="6" t="s">
        <v>129</v>
      </c>
      <c r="J25" s="6"/>
      <c r="K25" s="6" t="s">
        <v>143</v>
      </c>
      <c r="L25" s="6" t="s">
        <v>137</v>
      </c>
      <c r="M25" s="6"/>
      <c r="N25" s="6"/>
      <c r="O25" s="4"/>
      <c r="P25" s="4"/>
      <c r="Q25" s="5" t="s">
        <v>142</v>
      </c>
    </row>
    <row r="26" spans="1:17" x14ac:dyDescent="0.25">
      <c r="A26" s="4">
        <v>25</v>
      </c>
      <c r="B26" s="5" t="s">
        <v>23</v>
      </c>
      <c r="C26" s="4"/>
      <c r="D26" s="4" t="s">
        <v>67</v>
      </c>
      <c r="E26" s="6"/>
      <c r="F26" s="6"/>
      <c r="G26" s="6" t="s">
        <v>68</v>
      </c>
      <c r="H26" s="6"/>
      <c r="I26" s="6"/>
      <c r="J26" s="6" t="s">
        <v>68</v>
      </c>
      <c r="K26" s="6"/>
      <c r="L26" s="6"/>
      <c r="M26" s="6" t="s">
        <v>68</v>
      </c>
      <c r="N26" s="6"/>
      <c r="O26" s="4" t="s">
        <v>68</v>
      </c>
      <c r="P26" s="4"/>
      <c r="Q26" s="5" t="s">
        <v>23</v>
      </c>
    </row>
    <row r="27" spans="1:17" x14ac:dyDescent="0.25">
      <c r="A27" s="4">
        <v>26</v>
      </c>
      <c r="B27" s="5" t="s">
        <v>24</v>
      </c>
      <c r="C27" s="4"/>
      <c r="D27" s="4" t="s">
        <v>67</v>
      </c>
      <c r="E27" s="6" t="s">
        <v>77</v>
      </c>
      <c r="F27" s="6"/>
      <c r="G27" s="6" t="s">
        <v>68</v>
      </c>
      <c r="H27" s="6"/>
      <c r="I27" s="6" t="s">
        <v>75</v>
      </c>
      <c r="J27" s="6" t="s">
        <v>68</v>
      </c>
      <c r="K27" s="6" t="s">
        <v>102</v>
      </c>
      <c r="L27" s="6" t="s">
        <v>90</v>
      </c>
      <c r="M27" s="6" t="s">
        <v>68</v>
      </c>
      <c r="N27" s="6"/>
      <c r="O27" s="4" t="s">
        <v>68</v>
      </c>
      <c r="P27" s="4"/>
      <c r="Q27" s="5" t="s">
        <v>24</v>
      </c>
    </row>
    <row r="28" spans="1:17" x14ac:dyDescent="0.25">
      <c r="A28" s="4">
        <v>27</v>
      </c>
      <c r="B28" s="5" t="s">
        <v>25</v>
      </c>
      <c r="C28" s="4"/>
      <c r="D28" s="4" t="s">
        <v>67</v>
      </c>
      <c r="E28" s="6" t="s">
        <v>77</v>
      </c>
      <c r="F28" s="6"/>
      <c r="G28" s="6" t="s">
        <v>68</v>
      </c>
      <c r="H28" s="6"/>
      <c r="I28" s="6" t="s">
        <v>75</v>
      </c>
      <c r="J28" s="6" t="s">
        <v>68</v>
      </c>
      <c r="K28" s="6" t="s">
        <v>102</v>
      </c>
      <c r="L28" s="6" t="s">
        <v>90</v>
      </c>
      <c r="M28" s="6" t="s">
        <v>68</v>
      </c>
      <c r="N28" s="6"/>
      <c r="O28" s="4" t="s">
        <v>68</v>
      </c>
      <c r="P28" s="4"/>
      <c r="Q28" s="5" t="s">
        <v>25</v>
      </c>
    </row>
    <row r="29" spans="1:17" x14ac:dyDescent="0.25">
      <c r="A29" s="4">
        <v>28</v>
      </c>
      <c r="B29" s="5" t="s">
        <v>26</v>
      </c>
      <c r="C29" s="4"/>
      <c r="D29" s="4" t="s">
        <v>67</v>
      </c>
      <c r="E29" s="6" t="s">
        <v>77</v>
      </c>
      <c r="F29" s="6"/>
      <c r="G29" s="6" t="s">
        <v>68</v>
      </c>
      <c r="H29" s="6"/>
      <c r="I29" s="6" t="s">
        <v>75</v>
      </c>
      <c r="J29" s="6" t="s">
        <v>68</v>
      </c>
      <c r="K29" s="6" t="s">
        <v>103</v>
      </c>
      <c r="L29" s="6" t="s">
        <v>90</v>
      </c>
      <c r="M29" s="6" t="s">
        <v>68</v>
      </c>
      <c r="N29" s="6"/>
      <c r="O29" s="4" t="s">
        <v>68</v>
      </c>
      <c r="P29" s="4"/>
      <c r="Q29" s="5" t="s">
        <v>26</v>
      </c>
    </row>
    <row r="30" spans="1:17" x14ac:dyDescent="0.25">
      <c r="A30" s="4">
        <v>29</v>
      </c>
      <c r="B30" s="5" t="s">
        <v>27</v>
      </c>
      <c r="C30" s="4"/>
      <c r="D30" s="4" t="s">
        <v>67</v>
      </c>
      <c r="E30" s="6" t="s">
        <v>77</v>
      </c>
      <c r="F30" s="6"/>
      <c r="G30" s="6" t="s">
        <v>68</v>
      </c>
      <c r="H30" s="6"/>
      <c r="I30" s="6" t="s">
        <v>75</v>
      </c>
      <c r="J30" s="6" t="s">
        <v>68</v>
      </c>
      <c r="K30" s="6" t="s">
        <v>105</v>
      </c>
      <c r="L30" s="6" t="s">
        <v>104</v>
      </c>
      <c r="M30" s="6" t="s">
        <v>68</v>
      </c>
      <c r="N30" s="6"/>
      <c r="O30" s="4" t="s">
        <v>68</v>
      </c>
      <c r="P30" s="4"/>
      <c r="Q30" s="5" t="s">
        <v>27</v>
      </c>
    </row>
    <row r="31" spans="1:17" x14ac:dyDescent="0.25">
      <c r="A31" s="4">
        <v>30</v>
      </c>
      <c r="B31" s="5" t="s">
        <v>28</v>
      </c>
      <c r="C31" s="4"/>
      <c r="D31" s="4" t="s">
        <v>67</v>
      </c>
      <c r="E31" s="6" t="s">
        <v>77</v>
      </c>
      <c r="F31" s="6"/>
      <c r="G31" s="6" t="s">
        <v>68</v>
      </c>
      <c r="H31" s="6"/>
      <c r="I31" s="6" t="s">
        <v>75</v>
      </c>
      <c r="J31" s="6" t="s">
        <v>68</v>
      </c>
      <c r="K31" s="6" t="s">
        <v>89</v>
      </c>
      <c r="L31" s="6" t="s">
        <v>90</v>
      </c>
      <c r="M31" s="6" t="s">
        <v>68</v>
      </c>
      <c r="N31" s="6"/>
      <c r="O31" s="4" t="s">
        <v>68</v>
      </c>
      <c r="P31" s="4"/>
      <c r="Q31" s="5" t="s">
        <v>79</v>
      </c>
    </row>
    <row r="32" spans="1:17" x14ac:dyDescent="0.25">
      <c r="A32" s="4">
        <v>31</v>
      </c>
      <c r="B32" s="5" t="s">
        <v>29</v>
      </c>
      <c r="C32" s="4"/>
      <c r="D32" s="4" t="s">
        <v>67</v>
      </c>
      <c r="E32" s="6" t="s">
        <v>77</v>
      </c>
      <c r="F32" s="6"/>
      <c r="G32" s="6" t="s">
        <v>68</v>
      </c>
      <c r="H32" s="6"/>
      <c r="I32" s="6" t="s">
        <v>75</v>
      </c>
      <c r="J32" s="6" t="s">
        <v>68</v>
      </c>
      <c r="K32" s="6" t="s">
        <v>89</v>
      </c>
      <c r="L32" s="6" t="s">
        <v>90</v>
      </c>
      <c r="M32" s="6" t="s">
        <v>68</v>
      </c>
      <c r="N32" s="6" t="s">
        <v>78</v>
      </c>
      <c r="O32" s="4" t="s">
        <v>68</v>
      </c>
      <c r="P32" s="4"/>
      <c r="Q32" s="5" t="s">
        <v>29</v>
      </c>
    </row>
    <row r="33" spans="1:17" x14ac:dyDescent="0.25">
      <c r="A33" s="4">
        <v>32</v>
      </c>
      <c r="B33" s="5" t="s">
        <v>30</v>
      </c>
      <c r="C33" s="4"/>
      <c r="D33" s="4" t="s">
        <v>67</v>
      </c>
      <c r="E33" s="6" t="s">
        <v>86</v>
      </c>
      <c r="F33" s="6"/>
      <c r="G33" s="6" t="s">
        <v>68</v>
      </c>
      <c r="H33" s="6"/>
      <c r="I33" s="6" t="s">
        <v>75</v>
      </c>
      <c r="J33" s="6" t="s">
        <v>68</v>
      </c>
      <c r="K33" s="6" t="s">
        <v>107</v>
      </c>
      <c r="L33" s="6" t="s">
        <v>92</v>
      </c>
      <c r="M33" s="6" t="s">
        <v>68</v>
      </c>
      <c r="N33" s="6"/>
      <c r="O33" s="4" t="s">
        <v>68</v>
      </c>
      <c r="P33" s="4"/>
      <c r="Q33" s="5" t="s">
        <v>30</v>
      </c>
    </row>
    <row r="34" spans="1:17" x14ac:dyDescent="0.25">
      <c r="A34" s="4">
        <v>33</v>
      </c>
      <c r="B34" s="5" t="s">
        <v>31</v>
      </c>
      <c r="C34" s="4"/>
      <c r="D34" s="4" t="s">
        <v>67</v>
      </c>
      <c r="E34" s="6" t="s">
        <v>86</v>
      </c>
      <c r="F34" s="6"/>
      <c r="G34" s="6" t="s">
        <v>68</v>
      </c>
      <c r="H34" s="6"/>
      <c r="I34" s="6"/>
      <c r="J34" s="6" t="s">
        <v>68</v>
      </c>
      <c r="K34" s="6"/>
      <c r="L34" s="6"/>
      <c r="M34" s="6" t="s">
        <v>68</v>
      </c>
      <c r="N34" s="6"/>
      <c r="O34" s="4" t="s">
        <v>68</v>
      </c>
      <c r="P34" s="4"/>
      <c r="Q34" s="5" t="s">
        <v>31</v>
      </c>
    </row>
    <row r="35" spans="1:17" x14ac:dyDescent="0.25">
      <c r="A35" s="4">
        <v>34</v>
      </c>
      <c r="B35" s="5" t="s">
        <v>32</v>
      </c>
      <c r="C35" s="4"/>
      <c r="D35" s="4" t="s">
        <v>67</v>
      </c>
      <c r="E35" s="6" t="s">
        <v>86</v>
      </c>
      <c r="F35" s="6"/>
      <c r="G35" s="6" t="s">
        <v>68</v>
      </c>
      <c r="H35" s="6"/>
      <c r="I35" s="6"/>
      <c r="J35" s="6" t="s">
        <v>68</v>
      </c>
      <c r="K35" s="6"/>
      <c r="L35" s="6"/>
      <c r="M35" s="6" t="s">
        <v>68</v>
      </c>
      <c r="N35" s="6"/>
      <c r="O35" s="4" t="s">
        <v>68</v>
      </c>
      <c r="P35" s="4"/>
      <c r="Q35" s="5" t="s">
        <v>32</v>
      </c>
    </row>
    <row r="36" spans="1:17" x14ac:dyDescent="0.25">
      <c r="A36" s="4">
        <v>35</v>
      </c>
      <c r="B36" s="5" t="s">
        <v>33</v>
      </c>
      <c r="C36" s="4"/>
      <c r="D36" s="4" t="s">
        <v>67</v>
      </c>
      <c r="E36" s="6" t="s">
        <v>86</v>
      </c>
      <c r="F36" s="6"/>
      <c r="G36" s="6" t="s">
        <v>68</v>
      </c>
      <c r="H36" s="6"/>
      <c r="I36" s="6"/>
      <c r="J36" s="6" t="s">
        <v>68</v>
      </c>
      <c r="K36" s="6"/>
      <c r="L36" s="6"/>
      <c r="M36" s="6" t="s">
        <v>68</v>
      </c>
      <c r="N36" s="6"/>
      <c r="O36" s="4" t="s">
        <v>68</v>
      </c>
      <c r="P36" s="4"/>
      <c r="Q36" s="5" t="s">
        <v>33</v>
      </c>
    </row>
    <row r="37" spans="1:17" x14ac:dyDescent="0.25">
      <c r="A37" s="4">
        <v>36</v>
      </c>
      <c r="B37" s="5" t="s">
        <v>34</v>
      </c>
      <c r="C37" s="4"/>
      <c r="D37" s="4" t="s">
        <v>67</v>
      </c>
      <c r="E37" s="6" t="s">
        <v>86</v>
      </c>
      <c r="F37" s="6"/>
      <c r="G37" s="6" t="s">
        <v>68</v>
      </c>
      <c r="H37" s="6"/>
      <c r="I37" s="6"/>
      <c r="J37" s="6" t="s">
        <v>68</v>
      </c>
      <c r="K37" s="6"/>
      <c r="L37" s="6"/>
      <c r="M37" s="6" t="s">
        <v>68</v>
      </c>
      <c r="N37" s="6"/>
      <c r="O37" s="4" t="s">
        <v>68</v>
      </c>
      <c r="P37" s="4"/>
      <c r="Q37" s="5" t="s">
        <v>34</v>
      </c>
    </row>
    <row r="38" spans="1:17" x14ac:dyDescent="0.25">
      <c r="A38" s="4">
        <v>37</v>
      </c>
      <c r="B38" s="5" t="s">
        <v>35</v>
      </c>
      <c r="C38" s="4"/>
      <c r="D38" s="4" t="s">
        <v>67</v>
      </c>
      <c r="E38" s="6" t="s">
        <v>87</v>
      </c>
      <c r="F38" s="6"/>
      <c r="G38" s="6" t="s">
        <v>68</v>
      </c>
      <c r="H38" s="6"/>
      <c r="I38" s="6" t="s">
        <v>75</v>
      </c>
      <c r="J38" s="6" t="s">
        <v>68</v>
      </c>
      <c r="K38" s="6" t="s">
        <v>88</v>
      </c>
      <c r="L38" s="6" t="s">
        <v>91</v>
      </c>
      <c r="M38" s="6" t="s">
        <v>68</v>
      </c>
      <c r="N38" s="6"/>
      <c r="O38" s="4" t="s">
        <v>68</v>
      </c>
      <c r="P38" s="4"/>
      <c r="Q38" s="5" t="s">
        <v>35</v>
      </c>
    </row>
    <row r="39" spans="1:17" x14ac:dyDescent="0.25">
      <c r="A39" s="4">
        <v>38</v>
      </c>
      <c r="B39" s="5" t="s">
        <v>36</v>
      </c>
      <c r="C39" s="4"/>
      <c r="D39" s="4" t="s">
        <v>67</v>
      </c>
      <c r="E39" s="6" t="s">
        <v>86</v>
      </c>
      <c r="F39" s="6"/>
      <c r="G39" s="6" t="s">
        <v>68</v>
      </c>
      <c r="H39" s="6"/>
      <c r="I39" s="6" t="s">
        <v>75</v>
      </c>
      <c r="J39" s="6" t="s">
        <v>68</v>
      </c>
      <c r="K39" s="6" t="s">
        <v>106</v>
      </c>
      <c r="L39" s="6" t="s">
        <v>92</v>
      </c>
      <c r="M39" s="6" t="s">
        <v>68</v>
      </c>
      <c r="N39" s="6"/>
      <c r="O39" s="4" t="s">
        <v>68</v>
      </c>
      <c r="P39" s="4"/>
      <c r="Q39" s="5" t="s">
        <v>36</v>
      </c>
    </row>
    <row r="40" spans="1:17" x14ac:dyDescent="0.25">
      <c r="A40" s="4">
        <v>39</v>
      </c>
      <c r="B40" s="5" t="s">
        <v>37</v>
      </c>
      <c r="C40" s="4"/>
      <c r="D40" s="4" t="s">
        <v>67</v>
      </c>
      <c r="E40" s="6" t="s">
        <v>87</v>
      </c>
      <c r="F40" s="6"/>
      <c r="G40" s="6" t="s">
        <v>68</v>
      </c>
      <c r="H40" s="6"/>
      <c r="I40" s="6" t="s">
        <v>75</v>
      </c>
      <c r="J40" s="6" t="s">
        <v>68</v>
      </c>
      <c r="K40" s="6" t="s">
        <v>97</v>
      </c>
      <c r="L40" s="6" t="s">
        <v>91</v>
      </c>
      <c r="M40" s="6" t="s">
        <v>68</v>
      </c>
      <c r="N40" s="6"/>
      <c r="O40" s="4" t="s">
        <v>68</v>
      </c>
      <c r="P40" s="6" t="s">
        <v>93</v>
      </c>
      <c r="Q40" s="5" t="s">
        <v>37</v>
      </c>
    </row>
    <row r="41" spans="1:17" x14ac:dyDescent="0.25">
      <c r="A41" s="4"/>
      <c r="B41" s="5" t="s">
        <v>37</v>
      </c>
      <c r="C41" s="4"/>
      <c r="D41" s="4" t="s">
        <v>67</v>
      </c>
      <c r="E41" s="6" t="s">
        <v>94</v>
      </c>
      <c r="F41" s="6"/>
      <c r="G41" s="6" t="s">
        <v>68</v>
      </c>
      <c r="H41" s="6"/>
      <c r="I41" s="6" t="s">
        <v>75</v>
      </c>
      <c r="J41" s="6" t="s">
        <v>68</v>
      </c>
      <c r="K41" s="6" t="s">
        <v>96</v>
      </c>
      <c r="L41" s="6" t="s">
        <v>91</v>
      </c>
      <c r="M41" s="6" t="s">
        <v>68</v>
      </c>
      <c r="N41" s="6"/>
      <c r="O41" s="4" t="s">
        <v>68</v>
      </c>
      <c r="P41" s="6" t="s">
        <v>95</v>
      </c>
      <c r="Q41" s="5" t="s">
        <v>37</v>
      </c>
    </row>
    <row r="42" spans="1:17" x14ac:dyDescent="0.25">
      <c r="A42" s="4">
        <v>40</v>
      </c>
      <c r="B42" s="5" t="s">
        <v>38</v>
      </c>
      <c r="C42" s="4"/>
      <c r="D42" s="4" t="s">
        <v>67</v>
      </c>
      <c r="E42" s="6" t="s">
        <v>86</v>
      </c>
      <c r="F42" s="6"/>
      <c r="G42" s="6" t="s">
        <v>68</v>
      </c>
      <c r="H42" s="6"/>
      <c r="I42" s="6" t="s">
        <v>75</v>
      </c>
      <c r="J42" s="6" t="s">
        <v>68</v>
      </c>
      <c r="K42" s="6" t="s">
        <v>108</v>
      </c>
      <c r="L42" s="6" t="s">
        <v>92</v>
      </c>
      <c r="M42" s="6" t="s">
        <v>68</v>
      </c>
      <c r="N42" s="6"/>
      <c r="O42" s="4" t="s">
        <v>68</v>
      </c>
      <c r="P42" s="4"/>
      <c r="Q42" s="5" t="s">
        <v>38</v>
      </c>
    </row>
    <row r="43" spans="1:17" x14ac:dyDescent="0.25">
      <c r="A43" s="4">
        <v>41</v>
      </c>
      <c r="B43" s="5" t="s">
        <v>39</v>
      </c>
      <c r="C43" s="4"/>
      <c r="D43" s="4" t="s">
        <v>67</v>
      </c>
      <c r="E43" s="6" t="s">
        <v>83</v>
      </c>
      <c r="F43" s="6"/>
      <c r="G43" s="6" t="s">
        <v>68</v>
      </c>
      <c r="H43" s="6"/>
      <c r="I43" s="6" t="s">
        <v>129</v>
      </c>
      <c r="J43" s="6" t="s">
        <v>68</v>
      </c>
      <c r="K43" s="6" t="s">
        <v>136</v>
      </c>
      <c r="L43" s="6" t="s">
        <v>137</v>
      </c>
      <c r="M43" s="6" t="s">
        <v>68</v>
      </c>
      <c r="N43" s="6"/>
      <c r="O43" s="4" t="s">
        <v>68</v>
      </c>
      <c r="P43" s="4"/>
      <c r="Q43" s="5" t="s">
        <v>39</v>
      </c>
    </row>
    <row r="44" spans="1:17" x14ac:dyDescent="0.25">
      <c r="A44" s="4">
        <v>42</v>
      </c>
      <c r="B44" s="5" t="s">
        <v>40</v>
      </c>
      <c r="C44" s="4"/>
      <c r="D44" s="4" t="s">
        <v>67</v>
      </c>
      <c r="E44" s="6" t="s">
        <v>74</v>
      </c>
      <c r="F44" s="6"/>
      <c r="G44" s="6" t="s">
        <v>68</v>
      </c>
      <c r="H44" s="6"/>
      <c r="I44" s="6"/>
      <c r="J44" s="6" t="s">
        <v>68</v>
      </c>
      <c r="K44" s="6"/>
      <c r="L44" s="6"/>
      <c r="M44" s="6" t="s">
        <v>68</v>
      </c>
      <c r="N44" s="6"/>
      <c r="O44" s="4" t="s">
        <v>68</v>
      </c>
      <c r="P44" s="4"/>
      <c r="Q44" s="5" t="s">
        <v>40</v>
      </c>
    </row>
    <row r="45" spans="1:17" x14ac:dyDescent="0.25">
      <c r="A45" s="4">
        <v>43</v>
      </c>
      <c r="B45" s="5" t="s">
        <v>41</v>
      </c>
      <c r="C45" s="4"/>
      <c r="D45" s="4" t="s">
        <v>67</v>
      </c>
      <c r="E45" s="6" t="s">
        <v>82</v>
      </c>
      <c r="F45" s="6"/>
      <c r="G45" s="6" t="s">
        <v>68</v>
      </c>
      <c r="H45" s="6"/>
      <c r="I45" s="6" t="s">
        <v>42</v>
      </c>
      <c r="J45" s="6" t="s">
        <v>68</v>
      </c>
      <c r="K45" s="6"/>
      <c r="L45" s="6"/>
      <c r="M45" s="6" t="s">
        <v>68</v>
      </c>
      <c r="N45" s="6"/>
      <c r="O45" s="4" t="s">
        <v>68</v>
      </c>
      <c r="P45" s="4" t="s">
        <v>93</v>
      </c>
      <c r="Q45" s="5" t="s">
        <v>41</v>
      </c>
    </row>
    <row r="46" spans="1:17" x14ac:dyDescent="0.25">
      <c r="A46" s="4"/>
      <c r="B46" s="5" t="s">
        <v>41</v>
      </c>
      <c r="C46" s="4"/>
      <c r="D46" s="4" t="s">
        <v>67</v>
      </c>
      <c r="E46" s="6" t="s">
        <v>82</v>
      </c>
      <c r="F46" s="6"/>
      <c r="G46" s="6" t="s">
        <v>68</v>
      </c>
      <c r="H46" s="6"/>
      <c r="I46" s="6" t="s">
        <v>42</v>
      </c>
      <c r="J46" s="6" t="s">
        <v>68</v>
      </c>
      <c r="K46" s="6"/>
      <c r="L46" s="6"/>
      <c r="M46" s="6" t="s">
        <v>68</v>
      </c>
      <c r="N46" s="6"/>
      <c r="O46" s="4" t="s">
        <v>68</v>
      </c>
      <c r="P46" s="4" t="s">
        <v>95</v>
      </c>
      <c r="Q46" s="5" t="s">
        <v>41</v>
      </c>
    </row>
    <row r="47" spans="1:17" x14ac:dyDescent="0.25">
      <c r="A47" s="4">
        <v>43</v>
      </c>
      <c r="B47" s="5" t="s">
        <v>42</v>
      </c>
      <c r="C47" s="4"/>
      <c r="D47" s="4" t="s">
        <v>67</v>
      </c>
      <c r="E47" s="6" t="s">
        <v>82</v>
      </c>
      <c r="F47" s="6"/>
      <c r="G47" s="6" t="s">
        <v>68</v>
      </c>
      <c r="H47" s="6"/>
      <c r="I47" s="6"/>
      <c r="J47" s="6" t="s">
        <v>68</v>
      </c>
      <c r="K47" s="6"/>
      <c r="L47" s="6"/>
      <c r="M47" s="6" t="s">
        <v>68</v>
      </c>
      <c r="N47" s="6"/>
      <c r="O47" s="4" t="s">
        <v>68</v>
      </c>
      <c r="P47" s="4"/>
      <c r="Q47" s="5" t="s">
        <v>42</v>
      </c>
    </row>
    <row r="48" spans="1:17" x14ac:dyDescent="0.25">
      <c r="A48" s="4">
        <v>44</v>
      </c>
      <c r="B48" s="5" t="s">
        <v>43</v>
      </c>
      <c r="C48" s="4"/>
      <c r="D48" s="4" t="s">
        <v>67</v>
      </c>
      <c r="E48" s="6" t="s">
        <v>74</v>
      </c>
      <c r="F48" s="6"/>
      <c r="G48" s="6" t="s">
        <v>68</v>
      </c>
      <c r="H48" s="6"/>
      <c r="I48" s="6" t="s">
        <v>98</v>
      </c>
      <c r="J48" s="6" t="s">
        <v>68</v>
      </c>
      <c r="K48" s="6" t="s">
        <v>99</v>
      </c>
      <c r="L48" s="6" t="s">
        <v>101</v>
      </c>
      <c r="M48" s="6" t="s">
        <v>68</v>
      </c>
      <c r="N48" s="6"/>
      <c r="O48" s="4" t="s">
        <v>68</v>
      </c>
      <c r="P48" s="4"/>
      <c r="Q48" s="5" t="s">
        <v>43</v>
      </c>
    </row>
    <row r="49" spans="1:17" x14ac:dyDescent="0.25">
      <c r="A49" s="4">
        <v>45</v>
      </c>
      <c r="B49" s="5" t="s">
        <v>44</v>
      </c>
      <c r="C49" s="4"/>
      <c r="D49" s="4" t="s">
        <v>67</v>
      </c>
      <c r="E49" s="6" t="s">
        <v>74</v>
      </c>
      <c r="F49" s="6"/>
      <c r="G49" s="6" t="s">
        <v>68</v>
      </c>
      <c r="H49" s="6"/>
      <c r="I49" s="6" t="s">
        <v>98</v>
      </c>
      <c r="J49" s="6" t="s">
        <v>68</v>
      </c>
      <c r="K49" s="6" t="s">
        <v>99</v>
      </c>
      <c r="L49" s="6" t="s">
        <v>101</v>
      </c>
      <c r="M49" s="6" t="s">
        <v>68</v>
      </c>
      <c r="N49" s="6"/>
      <c r="O49" s="4" t="s">
        <v>68</v>
      </c>
      <c r="P49" s="4"/>
      <c r="Q49" s="5" t="s">
        <v>44</v>
      </c>
    </row>
    <row r="50" spans="1:17" x14ac:dyDescent="0.25">
      <c r="A50" s="4">
        <v>46</v>
      </c>
      <c r="B50" s="5" t="s">
        <v>45</v>
      </c>
      <c r="C50" s="4"/>
      <c r="D50" s="4" t="s">
        <v>67</v>
      </c>
      <c r="E50" s="6" t="s">
        <v>82</v>
      </c>
      <c r="F50" s="6"/>
      <c r="G50" s="6" t="s">
        <v>68</v>
      </c>
      <c r="H50" s="6"/>
      <c r="I50" s="6" t="s">
        <v>100</v>
      </c>
      <c r="J50" s="6" t="s">
        <v>68</v>
      </c>
      <c r="K50" s="6"/>
      <c r="L50" s="6"/>
      <c r="M50" s="6" t="s">
        <v>68</v>
      </c>
      <c r="N50" s="6"/>
      <c r="O50" s="4" t="s">
        <v>68</v>
      </c>
      <c r="P50" s="4"/>
      <c r="Q50" s="5" t="s">
        <v>45</v>
      </c>
    </row>
    <row r="51" spans="1:17" x14ac:dyDescent="0.25">
      <c r="A51" s="4">
        <v>47</v>
      </c>
      <c r="B51" s="5" t="s">
        <v>46</v>
      </c>
      <c r="C51" s="4"/>
      <c r="D51" s="4" t="s">
        <v>67</v>
      </c>
      <c r="E51" s="6" t="s">
        <v>74</v>
      </c>
      <c r="F51" s="6"/>
      <c r="G51" s="6" t="s">
        <v>68</v>
      </c>
      <c r="H51" s="6"/>
      <c r="I51" s="6" t="s">
        <v>98</v>
      </c>
      <c r="J51" s="6" t="s">
        <v>68</v>
      </c>
      <c r="K51" s="6" t="s">
        <v>99</v>
      </c>
      <c r="L51" s="6" t="s">
        <v>101</v>
      </c>
      <c r="M51" s="6" t="s">
        <v>68</v>
      </c>
      <c r="N51" s="6"/>
      <c r="O51" s="4" t="s">
        <v>68</v>
      </c>
      <c r="P51" s="4"/>
      <c r="Q51" s="5" t="s">
        <v>46</v>
      </c>
    </row>
    <row r="52" spans="1:17" x14ac:dyDescent="0.25">
      <c r="A52" s="4">
        <v>48</v>
      </c>
      <c r="B52" s="5" t="s">
        <v>47</v>
      </c>
      <c r="C52" s="4"/>
      <c r="D52" s="4" t="s">
        <v>67</v>
      </c>
      <c r="E52" s="6" t="s">
        <v>81</v>
      </c>
      <c r="F52" s="6"/>
      <c r="G52" s="6" t="s">
        <v>68</v>
      </c>
      <c r="H52" s="6"/>
      <c r="I52" s="6"/>
      <c r="J52" s="6" t="s">
        <v>68</v>
      </c>
      <c r="K52" s="6"/>
      <c r="L52" s="6"/>
      <c r="M52" s="6" t="s">
        <v>68</v>
      </c>
      <c r="N52" s="6"/>
      <c r="O52" s="4" t="s">
        <v>68</v>
      </c>
      <c r="P52" s="4"/>
      <c r="Q52" s="5" t="s">
        <v>47</v>
      </c>
    </row>
    <row r="53" spans="1:17" x14ac:dyDescent="0.25">
      <c r="A53" s="4">
        <v>49</v>
      </c>
      <c r="B53" s="5" t="s">
        <v>48</v>
      </c>
      <c r="C53" s="4"/>
      <c r="D53" s="4" t="s">
        <v>67</v>
      </c>
      <c r="E53" s="6" t="s">
        <v>76</v>
      </c>
      <c r="F53" s="6"/>
      <c r="G53" s="6" t="s">
        <v>68</v>
      </c>
      <c r="H53" s="6"/>
      <c r="I53" s="6"/>
      <c r="J53" s="6" t="s">
        <v>68</v>
      </c>
      <c r="K53" s="6"/>
      <c r="L53" s="6"/>
      <c r="M53" s="6" t="s">
        <v>68</v>
      </c>
      <c r="N53" s="6"/>
      <c r="O53" s="4" t="s">
        <v>68</v>
      </c>
      <c r="P53" s="4"/>
      <c r="Q53" s="5" t="s">
        <v>48</v>
      </c>
    </row>
    <row r="54" spans="1:17" x14ac:dyDescent="0.25">
      <c r="A54" s="4">
        <v>50</v>
      </c>
      <c r="B54" s="5" t="s">
        <v>49</v>
      </c>
      <c r="C54" s="4"/>
      <c r="D54" s="4" t="s">
        <v>67</v>
      </c>
      <c r="E54" s="6" t="s">
        <v>77</v>
      </c>
      <c r="F54" s="6"/>
      <c r="G54" s="6" t="s">
        <v>68</v>
      </c>
      <c r="H54" s="6"/>
      <c r="I54" s="6"/>
      <c r="J54" s="6" t="s">
        <v>68</v>
      </c>
      <c r="K54" s="6"/>
      <c r="L54" s="6"/>
      <c r="M54" s="6" t="s">
        <v>68</v>
      </c>
      <c r="N54" s="6"/>
      <c r="O54" s="4" t="s">
        <v>68</v>
      </c>
      <c r="P54" s="4"/>
      <c r="Q54" s="5" t="s">
        <v>49</v>
      </c>
    </row>
    <row r="55" spans="1:17" x14ac:dyDescent="0.25">
      <c r="A55" s="4">
        <v>51</v>
      </c>
      <c r="B55" s="5" t="s">
        <v>50</v>
      </c>
      <c r="C55" s="4"/>
      <c r="D55" s="4" t="s">
        <v>67</v>
      </c>
      <c r="E55" s="6" t="s">
        <v>77</v>
      </c>
      <c r="F55" s="6"/>
      <c r="G55" s="6" t="s">
        <v>68</v>
      </c>
      <c r="H55" s="6"/>
      <c r="I55" s="6"/>
      <c r="J55" s="6" t="s">
        <v>68</v>
      </c>
      <c r="K55" s="6"/>
      <c r="L55" s="6"/>
      <c r="M55" s="6" t="s">
        <v>68</v>
      </c>
      <c r="N55" s="6"/>
      <c r="O55" s="4" t="s">
        <v>68</v>
      </c>
      <c r="P55" s="4"/>
      <c r="Q55" s="5" t="s">
        <v>50</v>
      </c>
    </row>
    <row r="56" spans="1:17" x14ac:dyDescent="0.25">
      <c r="A56" s="4">
        <v>52</v>
      </c>
      <c r="B56" s="5" t="s">
        <v>51</v>
      </c>
      <c r="C56" s="4"/>
      <c r="D56" s="4" t="s">
        <v>67</v>
      </c>
      <c r="E56" s="6" t="s">
        <v>84</v>
      </c>
      <c r="F56" s="6"/>
      <c r="G56" s="6" t="s">
        <v>68</v>
      </c>
      <c r="H56" s="6"/>
      <c r="I56" s="6"/>
      <c r="J56" s="6" t="s">
        <v>68</v>
      </c>
      <c r="K56" s="6"/>
      <c r="L56" s="6"/>
      <c r="M56" s="6" t="s">
        <v>68</v>
      </c>
      <c r="N56" s="6"/>
      <c r="O56" s="4" t="s">
        <v>68</v>
      </c>
      <c r="P56" s="4"/>
      <c r="Q56" s="5" t="s">
        <v>51</v>
      </c>
    </row>
    <row r="57" spans="1:17" x14ac:dyDescent="0.25">
      <c r="A57" s="4">
        <v>53</v>
      </c>
      <c r="B57" s="5" t="s">
        <v>52</v>
      </c>
      <c r="C57" s="4"/>
      <c r="D57" s="4" t="s">
        <v>67</v>
      </c>
      <c r="E57" s="6" t="s">
        <v>84</v>
      </c>
      <c r="F57" s="6"/>
      <c r="G57" s="6" t="s">
        <v>68</v>
      </c>
      <c r="H57" s="6"/>
      <c r="I57" s="6"/>
      <c r="J57" s="6" t="s">
        <v>68</v>
      </c>
      <c r="K57" s="6"/>
      <c r="L57" s="6"/>
      <c r="M57" s="6" t="s">
        <v>68</v>
      </c>
      <c r="N57" s="6"/>
      <c r="O57" s="4" t="s">
        <v>68</v>
      </c>
      <c r="P57" s="4"/>
      <c r="Q57" s="5" t="s">
        <v>52</v>
      </c>
    </row>
    <row r="58" spans="1:17" x14ac:dyDescent="0.25">
      <c r="A58" s="4">
        <v>54</v>
      </c>
      <c r="B58" s="5" t="s">
        <v>53</v>
      </c>
      <c r="C58" s="4"/>
      <c r="D58" s="4" t="s">
        <v>67</v>
      </c>
      <c r="E58" s="6" t="s">
        <v>85</v>
      </c>
      <c r="F58" s="6"/>
      <c r="G58" s="6" t="s">
        <v>68</v>
      </c>
      <c r="H58" s="6"/>
      <c r="I58" s="6"/>
      <c r="J58" s="6" t="s">
        <v>68</v>
      </c>
      <c r="K58" s="6"/>
      <c r="L58" s="6"/>
      <c r="M58" s="6" t="s">
        <v>68</v>
      </c>
      <c r="N58" s="6"/>
      <c r="O58" s="4" t="s">
        <v>68</v>
      </c>
      <c r="P58" s="4"/>
      <c r="Q58" s="5" t="s">
        <v>53</v>
      </c>
    </row>
    <row r="59" spans="1:17" x14ac:dyDescent="0.25">
      <c r="A59" s="4">
        <v>55</v>
      </c>
      <c r="B59" s="5" t="s">
        <v>54</v>
      </c>
      <c r="C59" s="4"/>
      <c r="D59" s="4" t="s">
        <v>67</v>
      </c>
      <c r="E59" s="6" t="s">
        <v>85</v>
      </c>
      <c r="F59" s="6"/>
      <c r="G59" s="6" t="s">
        <v>68</v>
      </c>
      <c r="H59" s="6"/>
      <c r="I59" s="6"/>
      <c r="J59" s="6" t="s">
        <v>68</v>
      </c>
      <c r="K59" s="6"/>
      <c r="L59" s="6"/>
      <c r="M59" s="6" t="s">
        <v>68</v>
      </c>
      <c r="N59" s="6"/>
      <c r="O59" s="4" t="s">
        <v>68</v>
      </c>
      <c r="P59" s="4"/>
      <c r="Q59" s="5" t="s">
        <v>54</v>
      </c>
    </row>
    <row r="60" spans="1:17" x14ac:dyDescent="0.25">
      <c r="A60" s="4">
        <v>56</v>
      </c>
      <c r="B60" s="5" t="s">
        <v>55</v>
      </c>
      <c r="C60" s="4"/>
      <c r="D60" s="4" t="s">
        <v>67</v>
      </c>
      <c r="E60" s="6" t="s">
        <v>85</v>
      </c>
      <c r="F60" s="6"/>
      <c r="G60" s="6" t="s">
        <v>68</v>
      </c>
      <c r="H60" s="6"/>
      <c r="I60" s="6"/>
      <c r="J60" s="6" t="s">
        <v>68</v>
      </c>
      <c r="K60" s="6"/>
      <c r="L60" s="6"/>
      <c r="M60" s="6" t="s">
        <v>68</v>
      </c>
      <c r="N60" s="6"/>
      <c r="O60" s="4" t="s">
        <v>68</v>
      </c>
      <c r="P60" s="4"/>
      <c r="Q60" s="5" t="s">
        <v>55</v>
      </c>
    </row>
    <row r="61" spans="1:17" x14ac:dyDescent="0.25">
      <c r="A61" s="4">
        <v>57</v>
      </c>
      <c r="B61" s="5" t="s">
        <v>56</v>
      </c>
      <c r="C61" s="4"/>
      <c r="D61" s="4" t="s">
        <v>67</v>
      </c>
      <c r="E61" s="6" t="s">
        <v>80</v>
      </c>
      <c r="F61" s="6"/>
      <c r="G61" s="6" t="s">
        <v>68</v>
      </c>
      <c r="H61" s="6" t="s">
        <v>111</v>
      </c>
      <c r="I61" s="6" t="s">
        <v>113</v>
      </c>
      <c r="J61" s="6" t="s">
        <v>68</v>
      </c>
      <c r="K61" s="6"/>
      <c r="L61" s="6"/>
      <c r="M61" s="6" t="s">
        <v>68</v>
      </c>
      <c r="N61" s="6"/>
      <c r="O61" s="4" t="s">
        <v>68</v>
      </c>
      <c r="P61" s="4"/>
      <c r="Q61" s="5" t="s">
        <v>56</v>
      </c>
    </row>
    <row r="62" spans="1:17" x14ac:dyDescent="0.25">
      <c r="A62" s="4">
        <v>58</v>
      </c>
      <c r="B62" s="5" t="s">
        <v>57</v>
      </c>
      <c r="C62" s="4"/>
      <c r="D62" s="4" t="s">
        <v>67</v>
      </c>
      <c r="E62" s="6" t="s">
        <v>80</v>
      </c>
      <c r="F62" s="6"/>
      <c r="G62" s="6" t="s">
        <v>68</v>
      </c>
      <c r="H62" s="6" t="s">
        <v>112</v>
      </c>
      <c r="I62" s="6" t="s">
        <v>113</v>
      </c>
      <c r="J62" s="6" t="s">
        <v>68</v>
      </c>
      <c r="K62" s="6"/>
      <c r="L62" s="6"/>
      <c r="M62" s="6" t="s">
        <v>68</v>
      </c>
      <c r="N62" s="6"/>
      <c r="O62" s="4" t="s">
        <v>68</v>
      </c>
      <c r="P62" s="4"/>
      <c r="Q62" s="5" t="s">
        <v>57</v>
      </c>
    </row>
    <row r="63" spans="1:17" x14ac:dyDescent="0.25">
      <c r="A63" s="4">
        <v>59</v>
      </c>
      <c r="B63" s="5" t="s">
        <v>58</v>
      </c>
      <c r="C63" s="4"/>
      <c r="D63" s="4" t="s">
        <v>67</v>
      </c>
      <c r="E63" s="6" t="s">
        <v>81</v>
      </c>
      <c r="F63" s="6"/>
      <c r="G63" s="6" t="s">
        <v>68</v>
      </c>
      <c r="H63" s="6"/>
      <c r="I63" s="6"/>
      <c r="J63" s="6" t="s">
        <v>68</v>
      </c>
      <c r="K63" s="6"/>
      <c r="L63" s="6"/>
      <c r="M63" s="6" t="s">
        <v>68</v>
      </c>
      <c r="N63" s="6"/>
      <c r="O63" s="4" t="s">
        <v>68</v>
      </c>
      <c r="P63" s="4"/>
      <c r="Q63" s="5" t="s">
        <v>58</v>
      </c>
    </row>
    <row r="64" spans="1:17" x14ac:dyDescent="0.25">
      <c r="A64" s="4">
        <v>60</v>
      </c>
      <c r="B64" s="5" t="s">
        <v>59</v>
      </c>
      <c r="C64" s="4"/>
      <c r="D64" s="4" t="s">
        <v>67</v>
      </c>
      <c r="E64" s="6" t="s">
        <v>76</v>
      </c>
      <c r="F64" s="6"/>
      <c r="G64" s="6" t="s">
        <v>68</v>
      </c>
      <c r="H64" s="6"/>
      <c r="I64" s="6"/>
      <c r="J64" s="6" t="s">
        <v>68</v>
      </c>
      <c r="K64" s="6"/>
      <c r="L64" s="6"/>
      <c r="M64" s="6" t="s">
        <v>68</v>
      </c>
      <c r="N64" s="6"/>
      <c r="O64" s="4" t="s">
        <v>68</v>
      </c>
      <c r="P64" s="4"/>
      <c r="Q64" s="5" t="s">
        <v>59</v>
      </c>
    </row>
    <row r="65" spans="1:17" x14ac:dyDescent="0.25">
      <c r="A65" s="4">
        <v>61</v>
      </c>
      <c r="B65" s="5" t="s">
        <v>60</v>
      </c>
      <c r="C65" s="4"/>
      <c r="D65" s="4" t="s">
        <v>67</v>
      </c>
      <c r="E65" s="6" t="s">
        <v>84</v>
      </c>
      <c r="F65" s="6"/>
      <c r="G65" s="6" t="s">
        <v>68</v>
      </c>
      <c r="H65" s="6"/>
      <c r="I65" s="6"/>
      <c r="J65" s="6" t="s">
        <v>68</v>
      </c>
      <c r="K65" s="6"/>
      <c r="L65" s="6"/>
      <c r="M65" s="6" t="s">
        <v>68</v>
      </c>
      <c r="N65" s="6"/>
      <c r="O65" s="4" t="s">
        <v>68</v>
      </c>
      <c r="P65" s="4"/>
      <c r="Q65" s="5" t="s">
        <v>60</v>
      </c>
    </row>
    <row r="66" spans="1:17" x14ac:dyDescent="0.25">
      <c r="A66" s="4">
        <v>62</v>
      </c>
      <c r="B66" s="5" t="s">
        <v>61</v>
      </c>
      <c r="C66" s="4"/>
      <c r="D66" s="4" t="s">
        <v>67</v>
      </c>
      <c r="E66" s="6"/>
      <c r="F66" s="6"/>
      <c r="G66" s="6" t="s">
        <v>68</v>
      </c>
      <c r="H66" s="6"/>
      <c r="I66" s="6"/>
      <c r="J66" s="6" t="s">
        <v>68</v>
      </c>
      <c r="K66" s="6"/>
      <c r="L66" s="6"/>
      <c r="M66" s="6" t="s">
        <v>68</v>
      </c>
      <c r="N66" s="6"/>
      <c r="O66" s="4" t="s">
        <v>68</v>
      </c>
      <c r="P66" s="4"/>
      <c r="Q66" s="5" t="s">
        <v>61</v>
      </c>
    </row>
    <row r="67" spans="1:17" x14ac:dyDescent="0.25">
      <c r="A67" s="4">
        <v>63</v>
      </c>
      <c r="B67" s="5" t="s">
        <v>62</v>
      </c>
      <c r="C67" s="4"/>
      <c r="D67" s="4" t="s">
        <v>67</v>
      </c>
      <c r="E67" s="6" t="s">
        <v>76</v>
      </c>
      <c r="F67" s="6"/>
      <c r="G67" s="6" t="s">
        <v>68</v>
      </c>
      <c r="H67" s="6"/>
      <c r="I67" s="6"/>
      <c r="J67" s="6" t="s">
        <v>68</v>
      </c>
      <c r="K67" s="6"/>
      <c r="L67" s="6"/>
      <c r="M67" s="6" t="s">
        <v>68</v>
      </c>
      <c r="N67" s="6"/>
      <c r="O67" s="4" t="s">
        <v>68</v>
      </c>
      <c r="P67" s="4"/>
      <c r="Q67" s="5" t="s">
        <v>62</v>
      </c>
    </row>
    <row r="68" spans="1:17" x14ac:dyDescent="0.25">
      <c r="A68" s="4">
        <v>64</v>
      </c>
      <c r="B68" s="5" t="s">
        <v>63</v>
      </c>
      <c r="C68" s="4"/>
      <c r="D68" s="4" t="s">
        <v>67</v>
      </c>
      <c r="E68" s="6" t="s">
        <v>76</v>
      </c>
      <c r="F68" s="6"/>
      <c r="G68" s="6" t="s">
        <v>68</v>
      </c>
      <c r="H68" s="6"/>
      <c r="I68" s="6"/>
      <c r="J68" s="6" t="s">
        <v>68</v>
      </c>
      <c r="K68" s="6"/>
      <c r="L68" s="6"/>
      <c r="M68" s="6" t="s">
        <v>68</v>
      </c>
      <c r="N68" s="6"/>
      <c r="O68" s="4" t="s">
        <v>68</v>
      </c>
      <c r="P68" s="4"/>
      <c r="Q68" s="5" t="s">
        <v>63</v>
      </c>
    </row>
    <row r="69" spans="1:17" x14ac:dyDescent="0.25">
      <c r="A69" s="4">
        <v>65</v>
      </c>
      <c r="B69" s="5"/>
      <c r="C69" s="4"/>
      <c r="D69" s="4"/>
      <c r="E69" s="6"/>
      <c r="F69" s="6"/>
      <c r="G69" s="6" t="s">
        <v>68</v>
      </c>
      <c r="H69" s="6"/>
      <c r="I69" s="6"/>
      <c r="J69" s="6" t="s">
        <v>68</v>
      </c>
      <c r="K69" s="6"/>
      <c r="L69" s="6"/>
      <c r="M69" s="6" t="s">
        <v>68</v>
      </c>
      <c r="N69" s="6"/>
      <c r="O69" s="4" t="s">
        <v>68</v>
      </c>
      <c r="P69" s="4"/>
      <c r="Q69" s="4"/>
    </row>
    <row r="70" spans="1:17" x14ac:dyDescent="0.25">
      <c r="A70" s="4">
        <v>66</v>
      </c>
      <c r="B70" s="5" t="s">
        <v>75</v>
      </c>
      <c r="C70" s="4"/>
      <c r="D70" s="4" t="s">
        <v>67</v>
      </c>
      <c r="E70" s="6" t="s">
        <v>109</v>
      </c>
      <c r="F70" s="6"/>
      <c r="G70" s="6" t="s">
        <v>68</v>
      </c>
      <c r="H70" s="6"/>
      <c r="I70" s="6"/>
      <c r="J70" s="6" t="s">
        <v>68</v>
      </c>
      <c r="K70" s="6"/>
      <c r="L70" s="6"/>
      <c r="M70" s="6" t="s">
        <v>68</v>
      </c>
      <c r="N70" s="6"/>
      <c r="O70" s="4" t="s">
        <v>68</v>
      </c>
      <c r="P70" s="4"/>
      <c r="Q70" s="5" t="s">
        <v>75</v>
      </c>
    </row>
    <row r="71" spans="1:17" x14ac:dyDescent="0.25">
      <c r="A71" s="4">
        <v>67</v>
      </c>
      <c r="B71" s="5" t="s">
        <v>91</v>
      </c>
      <c r="C71" s="4"/>
      <c r="D71" s="4" t="s">
        <v>67</v>
      </c>
      <c r="E71" s="6" t="s">
        <v>87</v>
      </c>
      <c r="F71" s="6"/>
      <c r="G71" s="6" t="s">
        <v>68</v>
      </c>
      <c r="H71" s="6"/>
      <c r="I71" s="6" t="s">
        <v>75</v>
      </c>
      <c r="J71" s="6" t="s">
        <v>68</v>
      </c>
      <c r="K71" s="6"/>
      <c r="L71" s="6"/>
      <c r="M71" s="6" t="s">
        <v>68</v>
      </c>
      <c r="N71" s="6"/>
      <c r="O71" s="4" t="s">
        <v>68</v>
      </c>
      <c r="P71" s="4"/>
      <c r="Q71" s="5" t="s">
        <v>91</v>
      </c>
    </row>
    <row r="72" spans="1:17" x14ac:dyDescent="0.25">
      <c r="A72" s="4">
        <v>68</v>
      </c>
      <c r="B72" s="5" t="s">
        <v>92</v>
      </c>
      <c r="C72" s="4"/>
      <c r="D72" s="4" t="s">
        <v>67</v>
      </c>
      <c r="E72" s="6" t="s">
        <v>86</v>
      </c>
      <c r="F72" s="6"/>
      <c r="G72" s="6" t="s">
        <v>68</v>
      </c>
      <c r="H72" s="6"/>
      <c r="I72" s="6" t="s">
        <v>75</v>
      </c>
      <c r="J72" s="6" t="s">
        <v>68</v>
      </c>
      <c r="K72" s="6"/>
      <c r="L72" s="6"/>
      <c r="M72" s="6" t="s">
        <v>68</v>
      </c>
      <c r="N72" s="6"/>
      <c r="O72" s="4" t="s">
        <v>68</v>
      </c>
      <c r="P72" s="4"/>
      <c r="Q72" s="5" t="s">
        <v>92</v>
      </c>
    </row>
    <row r="73" spans="1:17" x14ac:dyDescent="0.25">
      <c r="A73" s="4">
        <v>69</v>
      </c>
      <c r="B73" s="5" t="s">
        <v>90</v>
      </c>
      <c r="C73" s="4"/>
      <c r="D73" s="4" t="s">
        <v>67</v>
      </c>
      <c r="E73" s="6" t="s">
        <v>77</v>
      </c>
      <c r="F73" s="6"/>
      <c r="G73" s="6" t="s">
        <v>68</v>
      </c>
      <c r="H73" s="6"/>
      <c r="I73" s="6" t="s">
        <v>75</v>
      </c>
      <c r="J73" s="6" t="s">
        <v>68</v>
      </c>
      <c r="K73" s="6"/>
      <c r="L73" s="6"/>
      <c r="M73" s="6" t="s">
        <v>68</v>
      </c>
      <c r="N73" s="6"/>
      <c r="O73" s="4" t="s">
        <v>68</v>
      </c>
      <c r="P73" s="4"/>
      <c r="Q73" s="5" t="s">
        <v>90</v>
      </c>
    </row>
    <row r="74" spans="1:17" x14ac:dyDescent="0.25">
      <c r="A74" s="4">
        <v>70</v>
      </c>
      <c r="B74" s="5" t="s">
        <v>104</v>
      </c>
      <c r="C74" s="4"/>
      <c r="D74" s="4" t="s">
        <v>67</v>
      </c>
      <c r="E74" s="6" t="s">
        <v>77</v>
      </c>
      <c r="F74" s="6"/>
      <c r="G74" s="6" t="s">
        <v>68</v>
      </c>
      <c r="H74" s="6"/>
      <c r="I74" s="6" t="s">
        <v>75</v>
      </c>
      <c r="J74" s="6" t="s">
        <v>68</v>
      </c>
      <c r="K74" s="6"/>
      <c r="L74" s="6" t="s">
        <v>90</v>
      </c>
      <c r="M74" s="6" t="s">
        <v>68</v>
      </c>
      <c r="N74" s="6"/>
      <c r="O74" s="4" t="s">
        <v>68</v>
      </c>
      <c r="P74" s="4"/>
      <c r="Q74" s="5" t="s">
        <v>104</v>
      </c>
    </row>
    <row r="75" spans="1:17" x14ac:dyDescent="0.25">
      <c r="A75" s="4">
        <v>71</v>
      </c>
      <c r="B75" s="5"/>
      <c r="C75" s="4"/>
      <c r="D75" s="4"/>
      <c r="E75" s="6"/>
      <c r="F75" s="6"/>
      <c r="G75" s="6" t="s">
        <v>68</v>
      </c>
      <c r="H75" s="6"/>
      <c r="I75" s="6"/>
      <c r="J75" s="6" t="s">
        <v>68</v>
      </c>
      <c r="K75" s="6"/>
      <c r="L75" s="6"/>
      <c r="M75" s="6" t="s">
        <v>68</v>
      </c>
      <c r="N75" s="6"/>
      <c r="O75" s="4" t="s">
        <v>68</v>
      </c>
      <c r="P75" s="4"/>
      <c r="Q75" s="4"/>
    </row>
    <row r="76" spans="1:17" x14ac:dyDescent="0.25">
      <c r="A76" s="4">
        <v>72</v>
      </c>
      <c r="B76" s="5" t="s">
        <v>113</v>
      </c>
      <c r="C76" s="4"/>
      <c r="D76" s="4" t="s">
        <v>67</v>
      </c>
      <c r="E76" s="6" t="s">
        <v>80</v>
      </c>
      <c r="F76" s="6"/>
      <c r="G76" s="6" t="s">
        <v>68</v>
      </c>
      <c r="H76" s="6"/>
      <c r="I76" s="6"/>
      <c r="J76" s="6" t="s">
        <v>68</v>
      </c>
      <c r="K76" s="6"/>
      <c r="L76" s="6"/>
      <c r="M76" s="6" t="s">
        <v>68</v>
      </c>
      <c r="N76" s="6"/>
      <c r="O76" s="4" t="s">
        <v>68</v>
      </c>
      <c r="P76" s="4"/>
      <c r="Q76" s="5" t="s">
        <v>113</v>
      </c>
    </row>
    <row r="77" spans="1:17" x14ac:dyDescent="0.25">
      <c r="A77" s="4">
        <v>73</v>
      </c>
      <c r="B77" s="5"/>
      <c r="C77" s="4"/>
      <c r="D77" s="4"/>
      <c r="E77" s="6"/>
      <c r="F77" s="6"/>
      <c r="G77" s="6" t="s">
        <v>68</v>
      </c>
      <c r="H77" s="6"/>
      <c r="I77" s="6"/>
      <c r="J77" s="6" t="s">
        <v>68</v>
      </c>
      <c r="K77" s="6"/>
      <c r="L77" s="6"/>
      <c r="M77" s="6" t="s">
        <v>68</v>
      </c>
      <c r="N77" s="6"/>
      <c r="O77" s="4" t="s">
        <v>68</v>
      </c>
      <c r="P77" s="4"/>
      <c r="Q77" s="4"/>
    </row>
    <row r="78" spans="1:17" x14ac:dyDescent="0.25">
      <c r="A78" s="4">
        <v>74</v>
      </c>
      <c r="B78" s="5"/>
      <c r="C78" s="4"/>
      <c r="D78" s="4"/>
      <c r="E78" s="6"/>
      <c r="F78" s="6"/>
      <c r="G78" s="6" t="s">
        <v>68</v>
      </c>
      <c r="H78" s="6"/>
      <c r="I78" s="6"/>
      <c r="J78" s="6" t="s">
        <v>68</v>
      </c>
      <c r="K78" s="6"/>
      <c r="L78" s="6"/>
      <c r="M78" s="6" t="s">
        <v>68</v>
      </c>
      <c r="N78" s="6"/>
      <c r="O78" s="4" t="s">
        <v>68</v>
      </c>
      <c r="P78" s="4"/>
      <c r="Q78" s="4"/>
    </row>
    <row r="79" spans="1:17" x14ac:dyDescent="0.25">
      <c r="A79" s="4">
        <v>75</v>
      </c>
      <c r="B79" s="5" t="s">
        <v>134</v>
      </c>
      <c r="C79" s="4"/>
      <c r="D79" s="4" t="s">
        <v>67</v>
      </c>
      <c r="E79" s="6"/>
      <c r="F79" s="6" t="s">
        <v>110</v>
      </c>
      <c r="G79" s="6" t="s">
        <v>68</v>
      </c>
      <c r="H79" s="6"/>
      <c r="I79" s="6"/>
      <c r="J79" s="6" t="s">
        <v>68</v>
      </c>
      <c r="K79" s="6"/>
      <c r="L79" s="6"/>
      <c r="M79" s="6" t="s">
        <v>68</v>
      </c>
      <c r="N79" s="6"/>
      <c r="O79" s="4" t="s">
        <v>68</v>
      </c>
      <c r="P79" s="4"/>
      <c r="Q79" s="5" t="s">
        <v>134</v>
      </c>
    </row>
    <row r="80" spans="1:17" x14ac:dyDescent="0.25">
      <c r="A80" s="4"/>
      <c r="B80" s="5"/>
      <c r="C80" s="4"/>
      <c r="D80" s="4"/>
      <c r="E80" s="6"/>
      <c r="F80" s="6"/>
      <c r="G80" s="6" t="s">
        <v>68</v>
      </c>
      <c r="H80" s="6"/>
      <c r="I80" s="6"/>
      <c r="J80" s="6" t="s">
        <v>68</v>
      </c>
      <c r="K80" s="6"/>
      <c r="L80" s="6"/>
      <c r="M80" s="6" t="s">
        <v>68</v>
      </c>
      <c r="N80" s="6"/>
      <c r="O80" s="4" t="s">
        <v>68</v>
      </c>
      <c r="P80" s="4"/>
      <c r="Q80" s="5" t="s">
        <v>140</v>
      </c>
    </row>
    <row r="81" spans="1:17" x14ac:dyDescent="0.25">
      <c r="A81" s="4"/>
      <c r="B81" s="5"/>
      <c r="C81" s="4"/>
      <c r="D81" s="4"/>
      <c r="E81" s="6"/>
      <c r="F81" s="6"/>
      <c r="G81" s="6" t="s">
        <v>68</v>
      </c>
      <c r="H81" s="6"/>
      <c r="I81" s="6"/>
      <c r="J81" s="6" t="s">
        <v>68</v>
      </c>
      <c r="K81" s="6"/>
      <c r="L81" s="6"/>
      <c r="M81" s="6" t="s">
        <v>68</v>
      </c>
      <c r="N81" s="6"/>
      <c r="O81" s="4" t="s">
        <v>68</v>
      </c>
      <c r="P81" s="4"/>
      <c r="Q81" s="5" t="s">
        <v>141</v>
      </c>
    </row>
    <row r="82" spans="1:17" x14ac:dyDescent="0.25">
      <c r="A82" s="4"/>
      <c r="B82" s="5" t="s">
        <v>138</v>
      </c>
      <c r="C82" s="4"/>
      <c r="D82" s="4" t="s">
        <v>67</v>
      </c>
      <c r="E82" s="6" t="s">
        <v>83</v>
      </c>
      <c r="F82" s="6"/>
      <c r="G82" s="6" t="s">
        <v>68</v>
      </c>
      <c r="H82" s="6"/>
      <c r="I82" s="6" t="s">
        <v>129</v>
      </c>
      <c r="J82" s="6" t="s">
        <v>68</v>
      </c>
      <c r="K82" s="6" t="s">
        <v>139</v>
      </c>
      <c r="L82" s="6" t="s">
        <v>137</v>
      </c>
      <c r="M82" s="6" t="s">
        <v>68</v>
      </c>
      <c r="N82" s="6"/>
      <c r="O82" s="4" t="s">
        <v>68</v>
      </c>
      <c r="P82" s="4"/>
      <c r="Q82" s="5" t="s">
        <v>138</v>
      </c>
    </row>
    <row r="83" spans="1:17" x14ac:dyDescent="0.25">
      <c r="A83" s="4">
        <v>76</v>
      </c>
      <c r="B83" s="5" t="s">
        <v>133</v>
      </c>
      <c r="C83" s="4"/>
      <c r="D83" s="4" t="s">
        <v>66</v>
      </c>
      <c r="E83" s="6" t="s">
        <v>94</v>
      </c>
      <c r="F83" s="6"/>
      <c r="G83" s="6" t="s">
        <v>68</v>
      </c>
      <c r="H83" s="6" t="s">
        <v>119</v>
      </c>
      <c r="I83" s="6" t="s">
        <v>116</v>
      </c>
      <c r="J83" s="6" t="s">
        <v>68</v>
      </c>
      <c r="K83" s="6"/>
      <c r="L83" s="6"/>
      <c r="M83" s="6" t="s">
        <v>68</v>
      </c>
      <c r="N83" s="6"/>
      <c r="O83" s="4" t="s">
        <v>68</v>
      </c>
      <c r="P83" s="4"/>
      <c r="Q83" s="5" t="s">
        <v>133</v>
      </c>
    </row>
    <row r="84" spans="1:17" x14ac:dyDescent="0.25">
      <c r="A84" s="4">
        <v>77</v>
      </c>
      <c r="B84" s="5"/>
      <c r="C84" s="4"/>
      <c r="D84" s="4"/>
      <c r="E84" s="6"/>
      <c r="F84" s="6"/>
      <c r="G84" s="6"/>
      <c r="H84" s="6"/>
      <c r="I84" s="6"/>
      <c r="J84" s="6"/>
      <c r="K84" s="6"/>
      <c r="L84" s="6"/>
      <c r="M84" s="6"/>
      <c r="N84" s="6"/>
      <c r="O84" s="4"/>
      <c r="P84" s="4"/>
      <c r="Q84" s="4"/>
    </row>
    <row r="85" spans="1:17" x14ac:dyDescent="0.25">
      <c r="A85" s="4">
        <v>78</v>
      </c>
      <c r="B85" s="5"/>
      <c r="C85" s="4"/>
      <c r="D85" s="4"/>
      <c r="E85" s="6"/>
      <c r="F85" s="6"/>
      <c r="G85" s="6"/>
      <c r="H85" s="6"/>
      <c r="I85" s="6"/>
      <c r="J85" s="6"/>
      <c r="K85" s="6"/>
      <c r="L85" s="6"/>
      <c r="M85" s="6"/>
      <c r="N85" s="6"/>
      <c r="O85" s="4"/>
      <c r="P85" s="4"/>
      <c r="Q85" s="4"/>
    </row>
    <row r="86" spans="1:17" x14ac:dyDescent="0.25">
      <c r="A86" s="4">
        <v>79</v>
      </c>
      <c r="B86" s="5"/>
      <c r="C86" s="4"/>
      <c r="D86" s="4"/>
      <c r="E86" s="6"/>
      <c r="F86" s="6"/>
      <c r="G86" s="6"/>
      <c r="H86" s="6"/>
      <c r="I86" s="6"/>
      <c r="J86" s="6"/>
      <c r="K86" s="6"/>
      <c r="L86" s="6"/>
      <c r="M86" s="6"/>
      <c r="N86" s="6"/>
      <c r="O86" s="4"/>
      <c r="P86" s="4"/>
      <c r="Q86" s="4"/>
    </row>
    <row r="87" spans="1:17" x14ac:dyDescent="0.25">
      <c r="A87" s="4"/>
      <c r="B87" s="5"/>
      <c r="C87" s="4"/>
      <c r="D87" s="4"/>
      <c r="E87" s="6"/>
      <c r="F87" s="6"/>
      <c r="G87" s="6"/>
      <c r="H87" s="6"/>
      <c r="I87" s="6"/>
      <c r="J87" s="6"/>
      <c r="K87" s="6"/>
      <c r="L87" s="6"/>
      <c r="M87" s="6"/>
      <c r="N87" s="6"/>
      <c r="O87" s="4"/>
      <c r="P87" s="4"/>
      <c r="Q87" s="4"/>
    </row>
    <row r="88" spans="1:17" x14ac:dyDescent="0.25">
      <c r="A88" s="4"/>
      <c r="B88" s="5"/>
      <c r="C88" s="4"/>
      <c r="D88" s="4"/>
      <c r="E88" s="6"/>
      <c r="F88" s="6"/>
      <c r="G88" s="6"/>
      <c r="H88" s="6"/>
      <c r="I88" s="6"/>
      <c r="J88" s="6"/>
      <c r="K88" s="6"/>
      <c r="L88" s="6"/>
      <c r="M88" s="6"/>
      <c r="N88" s="6"/>
      <c r="O88" s="4"/>
      <c r="P88" s="4"/>
      <c r="Q88" s="4"/>
    </row>
    <row r="89" spans="1:17" x14ac:dyDescent="0.25">
      <c r="A89" s="4"/>
      <c r="B89" s="5"/>
      <c r="C89" s="4"/>
      <c r="D89" s="4"/>
      <c r="E89" s="6"/>
      <c r="F89" s="6"/>
      <c r="G89" s="6"/>
      <c r="H89" s="6"/>
      <c r="I89" s="6"/>
      <c r="J89" s="6"/>
      <c r="K89" s="6"/>
      <c r="L89" s="6"/>
      <c r="M89" s="6"/>
      <c r="N89" s="6"/>
      <c r="O89" s="4"/>
      <c r="P89" s="4"/>
      <c r="Q89" s="4"/>
    </row>
    <row r="90" spans="1:17" x14ac:dyDescent="0.25">
      <c r="A90" s="4"/>
      <c r="B90" s="5"/>
      <c r="C90" s="4"/>
      <c r="D90" s="4"/>
      <c r="E90" s="6"/>
      <c r="F90" s="6"/>
      <c r="G90" s="6"/>
      <c r="H90" s="6"/>
      <c r="I90" s="6"/>
      <c r="J90" s="6"/>
      <c r="K90" s="6"/>
      <c r="L90" s="6"/>
      <c r="M90" s="6"/>
      <c r="N90" s="6"/>
      <c r="O90" s="4"/>
      <c r="P90" s="4"/>
      <c r="Q90" s="4"/>
    </row>
    <row r="91" spans="1:17" x14ac:dyDescent="0.25">
      <c r="A91" s="4"/>
      <c r="B91" s="5"/>
      <c r="C91" s="4"/>
      <c r="D91" s="4"/>
      <c r="E91" s="6"/>
      <c r="F91" s="6"/>
      <c r="G91" s="6"/>
      <c r="H91" s="6"/>
      <c r="I91" s="6"/>
      <c r="J91" s="6"/>
      <c r="K91" s="6"/>
      <c r="L91" s="6"/>
      <c r="M91" s="6"/>
      <c r="N91" s="6"/>
      <c r="O91" s="4"/>
      <c r="P91" s="4"/>
      <c r="Q91" s="4"/>
    </row>
    <row r="92" spans="1:17" x14ac:dyDescent="0.25">
      <c r="A92" s="4"/>
      <c r="B92" s="5"/>
      <c r="C92" s="4"/>
      <c r="D92" s="4"/>
      <c r="E92" s="6"/>
      <c r="F92" s="6"/>
      <c r="G92" s="6"/>
      <c r="H92" s="6"/>
      <c r="I92" s="6"/>
      <c r="J92" s="6"/>
      <c r="K92" s="6"/>
      <c r="L92" s="6"/>
      <c r="M92" s="6"/>
      <c r="N92" s="6"/>
      <c r="O92" s="4"/>
      <c r="P92" s="4"/>
      <c r="Q92" s="4"/>
    </row>
    <row r="93" spans="1:17" x14ac:dyDescent="0.25">
      <c r="A93" s="4"/>
      <c r="B93" s="5"/>
      <c r="C93" s="4"/>
      <c r="D93" s="4"/>
      <c r="E93" s="6"/>
      <c r="F93" s="6"/>
      <c r="G93" s="6"/>
      <c r="H93" s="6"/>
      <c r="I93" s="6"/>
      <c r="J93" s="6"/>
      <c r="K93" s="6"/>
      <c r="L93" s="6"/>
      <c r="M93" s="6"/>
      <c r="N93" s="6"/>
      <c r="O93" s="4"/>
      <c r="P93" s="4"/>
      <c r="Q93" s="4"/>
    </row>
    <row r="94" spans="1:17" x14ac:dyDescent="0.25">
      <c r="A94" s="4"/>
      <c r="B94" s="5"/>
      <c r="C94" s="4"/>
      <c r="D94" s="4"/>
      <c r="E94" s="6"/>
      <c r="F94" s="6"/>
      <c r="G94" s="6"/>
      <c r="H94" s="6"/>
      <c r="I94" s="6"/>
      <c r="J94" s="6"/>
      <c r="K94" s="6"/>
      <c r="L94" s="6"/>
      <c r="M94" s="6"/>
      <c r="N94" s="6"/>
      <c r="O94" s="4"/>
      <c r="P94" s="4"/>
      <c r="Q94" s="4"/>
    </row>
    <row r="95" spans="1:17" x14ac:dyDescent="0.25">
      <c r="A95" s="4"/>
      <c r="B95" s="5"/>
      <c r="C95" s="4"/>
      <c r="D95" s="4"/>
      <c r="E95" s="6"/>
      <c r="F95" s="6"/>
      <c r="G95" s="6"/>
      <c r="H95" s="6"/>
      <c r="I95" s="6"/>
      <c r="J95" s="6"/>
      <c r="K95" s="6"/>
      <c r="L95" s="6"/>
      <c r="M95" s="6"/>
      <c r="N95" s="6"/>
      <c r="O95" s="4"/>
      <c r="P95" s="4"/>
      <c r="Q95" s="4"/>
    </row>
  </sheetData>
  <pageMargins left="0.7" right="0.7" top="0.75" bottom="0.75" header="0.3" footer="0.3"/>
  <pageSetup paperSize="9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2"/>
  <sheetViews>
    <sheetView view="pageLayout" zoomScaleNormal="100" workbookViewId="0">
      <selection activeCell="D90" sqref="D90"/>
    </sheetView>
  </sheetViews>
  <sheetFormatPr baseColWidth="10" defaultRowHeight="13.5" customHeight="1" x14ac:dyDescent="0.25"/>
  <cols>
    <col min="1" max="1" width="4.85546875" style="16" customWidth="1"/>
    <col min="2" max="2" width="8.42578125" style="51" customWidth="1"/>
    <col min="3" max="3" width="6.7109375" style="14" bestFit="1" customWidth="1"/>
    <col min="4" max="4" width="6.28515625" style="36" customWidth="1"/>
    <col min="5" max="10" width="6.7109375" style="14" customWidth="1"/>
    <col min="11" max="11" width="5.42578125" style="14" customWidth="1"/>
    <col min="12" max="12" width="6.7109375" style="14" customWidth="1"/>
    <col min="13" max="14" width="5.7109375" style="14" customWidth="1"/>
    <col min="15" max="15" width="10.140625" style="14" customWidth="1"/>
    <col min="16" max="16" width="10.42578125" style="41" bestFit="1" customWidth="1"/>
    <col min="17" max="16384" width="11.42578125" style="14"/>
  </cols>
  <sheetData>
    <row r="1" spans="1:16" s="2" customFormat="1" ht="40.5" customHeight="1" x14ac:dyDescent="0.25">
      <c r="A1" s="57"/>
      <c r="B1" s="59"/>
      <c r="C1" s="57"/>
      <c r="D1" s="18" t="s">
        <v>340</v>
      </c>
      <c r="E1" s="18" t="s">
        <v>341</v>
      </c>
      <c r="F1" s="18" t="s">
        <v>342</v>
      </c>
      <c r="G1" s="18" t="s">
        <v>343</v>
      </c>
      <c r="H1" s="35" t="s">
        <v>183</v>
      </c>
      <c r="I1" s="35" t="s">
        <v>344</v>
      </c>
      <c r="J1" s="18" t="s">
        <v>339</v>
      </c>
      <c r="K1" s="18" t="s">
        <v>348</v>
      </c>
      <c r="L1" s="18" t="s">
        <v>224</v>
      </c>
      <c r="M1" s="18" t="s">
        <v>223</v>
      </c>
      <c r="N1" s="18" t="s">
        <v>173</v>
      </c>
      <c r="O1" s="45" t="s">
        <v>172</v>
      </c>
    </row>
    <row r="2" spans="1:16" ht="13.5" customHeight="1" x14ac:dyDescent="0.25">
      <c r="A2" s="15" t="s">
        <v>81</v>
      </c>
      <c r="B2" s="48" t="s">
        <v>47</v>
      </c>
      <c r="C2" s="15" t="s">
        <v>81</v>
      </c>
      <c r="D2" s="15" t="s">
        <v>67</v>
      </c>
      <c r="E2" s="15"/>
      <c r="F2" s="15"/>
      <c r="G2" s="15"/>
      <c r="H2" s="31"/>
      <c r="I2" s="31"/>
      <c r="J2" s="15"/>
      <c r="K2" s="15"/>
      <c r="L2" s="15"/>
      <c r="M2" s="15"/>
      <c r="N2" s="15"/>
      <c r="O2" s="38"/>
      <c r="P2" s="14"/>
    </row>
    <row r="3" spans="1:16" ht="13.5" customHeight="1" x14ac:dyDescent="0.25">
      <c r="B3" s="48" t="s">
        <v>58</v>
      </c>
      <c r="C3" s="15" t="s">
        <v>144</v>
      </c>
      <c r="D3" s="15" t="s">
        <v>67</v>
      </c>
      <c r="E3" s="15"/>
      <c r="F3" s="15"/>
      <c r="G3" s="15"/>
      <c r="H3" s="31"/>
      <c r="I3" s="31"/>
      <c r="J3" s="15"/>
      <c r="K3" s="15"/>
      <c r="L3" s="15"/>
      <c r="M3" s="15" t="s">
        <v>179</v>
      </c>
      <c r="N3" s="15" t="s">
        <v>179</v>
      </c>
      <c r="O3" s="38">
        <v>41947</v>
      </c>
      <c r="P3" s="14"/>
    </row>
    <row r="4" spans="1:16" ht="13.5" customHeight="1" x14ac:dyDescent="0.25">
      <c r="D4" s="14"/>
      <c r="H4" s="36"/>
      <c r="I4" s="36"/>
      <c r="O4" s="41"/>
      <c r="P4" s="14"/>
    </row>
    <row r="5" spans="1:16" ht="13.5" customHeight="1" x14ac:dyDescent="0.25">
      <c r="A5" s="53" t="s">
        <v>86</v>
      </c>
      <c r="B5" s="48" t="s">
        <v>36</v>
      </c>
      <c r="C5" s="15" t="s">
        <v>106</v>
      </c>
      <c r="D5" s="15" t="s">
        <v>184</v>
      </c>
      <c r="E5" s="15"/>
      <c r="F5" s="15"/>
      <c r="G5" s="15"/>
      <c r="H5" s="31"/>
      <c r="I5" s="31"/>
      <c r="J5" s="15"/>
      <c r="K5" s="15"/>
      <c r="L5" s="15"/>
      <c r="M5" s="15"/>
      <c r="N5" s="15"/>
      <c r="O5" s="38"/>
      <c r="P5" s="14"/>
    </row>
    <row r="6" spans="1:16" ht="13.5" customHeight="1" x14ac:dyDescent="0.25">
      <c r="B6" s="48" t="s">
        <v>33</v>
      </c>
      <c r="C6" s="15" t="s">
        <v>148</v>
      </c>
      <c r="D6" s="15" t="s">
        <v>32</v>
      </c>
      <c r="E6" s="15"/>
      <c r="F6" s="15"/>
      <c r="G6" s="15"/>
      <c r="H6" s="31"/>
      <c r="I6" s="31"/>
      <c r="J6" s="15"/>
      <c r="K6" s="15"/>
      <c r="L6" s="15"/>
      <c r="M6" s="15"/>
      <c r="N6" s="15"/>
      <c r="O6" s="38"/>
      <c r="P6" s="14"/>
    </row>
    <row r="7" spans="1:16" ht="13.5" customHeight="1" x14ac:dyDescent="0.25">
      <c r="B7" s="48" t="s">
        <v>30</v>
      </c>
      <c r="C7" s="15" t="s">
        <v>107</v>
      </c>
      <c r="D7" s="15" t="s">
        <v>184</v>
      </c>
      <c r="E7" s="15"/>
      <c r="F7" s="15"/>
      <c r="G7" s="15"/>
      <c r="H7" s="31"/>
      <c r="I7" s="31"/>
      <c r="J7" s="15"/>
      <c r="K7" s="15"/>
      <c r="L7" s="15"/>
      <c r="M7" s="15"/>
      <c r="N7" s="15"/>
      <c r="O7" s="38"/>
      <c r="P7" s="14"/>
    </row>
    <row r="8" spans="1:16" ht="13.5" customHeight="1" x14ac:dyDescent="0.25">
      <c r="B8" s="48" t="s">
        <v>29</v>
      </c>
      <c r="C8" s="15" t="s">
        <v>149</v>
      </c>
      <c r="D8" s="15" t="s">
        <v>184</v>
      </c>
      <c r="E8" s="15"/>
      <c r="F8" s="15"/>
      <c r="G8" s="15" t="s">
        <v>264</v>
      </c>
      <c r="H8" s="31"/>
      <c r="I8" s="31"/>
      <c r="J8" s="15"/>
      <c r="K8" s="15"/>
      <c r="L8" s="15"/>
      <c r="M8" s="15" t="s">
        <v>179</v>
      </c>
      <c r="N8" s="15" t="s">
        <v>179</v>
      </c>
      <c r="O8" s="38"/>
      <c r="P8" s="14"/>
    </row>
    <row r="9" spans="1:16" ht="13.5" customHeight="1" x14ac:dyDescent="0.25">
      <c r="B9" s="48" t="s">
        <v>38</v>
      </c>
      <c r="C9" s="15" t="s">
        <v>108</v>
      </c>
      <c r="D9" s="15" t="s">
        <v>184</v>
      </c>
      <c r="E9" s="15"/>
      <c r="F9" s="15"/>
      <c r="G9" s="15"/>
      <c r="H9" s="31"/>
      <c r="I9" s="31"/>
      <c r="J9" s="15"/>
      <c r="K9" s="15"/>
      <c r="L9" s="15"/>
      <c r="M9" s="15"/>
      <c r="N9" s="15" t="s">
        <v>179</v>
      </c>
      <c r="O9" s="38">
        <v>41529</v>
      </c>
      <c r="P9" s="14"/>
    </row>
    <row r="10" spans="1:16" ht="13.5" customHeight="1" x14ac:dyDescent="0.25">
      <c r="D10" s="14"/>
      <c r="H10" s="36"/>
      <c r="I10" s="36"/>
      <c r="O10" s="41"/>
      <c r="P10" s="14"/>
    </row>
    <row r="11" spans="1:16" ht="13.5" customHeight="1" x14ac:dyDescent="0.25">
      <c r="A11" s="15" t="s">
        <v>82</v>
      </c>
      <c r="B11" s="60" t="s">
        <v>41</v>
      </c>
      <c r="C11" s="15" t="s">
        <v>82</v>
      </c>
      <c r="D11" s="15" t="s">
        <v>67</v>
      </c>
      <c r="E11" s="15"/>
      <c r="F11" s="15"/>
      <c r="G11" s="15"/>
      <c r="H11" s="31">
        <v>4.18</v>
      </c>
      <c r="I11" s="31"/>
      <c r="J11" s="15"/>
      <c r="K11" s="15"/>
      <c r="L11" s="15"/>
      <c r="M11" s="15"/>
      <c r="N11" s="15" t="s">
        <v>179</v>
      </c>
      <c r="O11" s="38">
        <v>41340</v>
      </c>
      <c r="P11" s="14"/>
    </row>
    <row r="12" spans="1:16" ht="13.5" customHeight="1" x14ac:dyDescent="0.25">
      <c r="B12" s="48" t="s">
        <v>42</v>
      </c>
      <c r="C12" s="15" t="s">
        <v>82</v>
      </c>
      <c r="D12" s="15" t="s">
        <v>67</v>
      </c>
      <c r="E12" s="15"/>
      <c r="F12" s="15"/>
      <c r="G12" s="15"/>
      <c r="H12" s="31">
        <v>8.5399999999999991</v>
      </c>
      <c r="I12" s="31"/>
      <c r="J12" s="15"/>
      <c r="K12" s="15"/>
      <c r="L12" s="15"/>
      <c r="M12" s="15"/>
      <c r="N12" s="15" t="s">
        <v>179</v>
      </c>
      <c r="O12" s="38">
        <v>41340</v>
      </c>
      <c r="P12" s="14"/>
    </row>
    <row r="13" spans="1:16" ht="13.5" customHeight="1" x14ac:dyDescent="0.25">
      <c r="B13" s="48" t="s">
        <v>45</v>
      </c>
      <c r="C13" s="15" t="s">
        <v>82</v>
      </c>
      <c r="D13" s="15" t="s">
        <v>67</v>
      </c>
      <c r="E13" s="15"/>
      <c r="F13" s="15"/>
      <c r="G13" s="15"/>
      <c r="H13" s="31">
        <v>1.1499999999999999</v>
      </c>
      <c r="I13" s="31"/>
      <c r="J13" s="15"/>
      <c r="K13" s="15"/>
      <c r="L13" s="15"/>
      <c r="M13" s="15"/>
      <c r="N13" s="15" t="s">
        <v>179</v>
      </c>
      <c r="O13" s="38">
        <v>41529</v>
      </c>
      <c r="P13" s="14"/>
    </row>
    <row r="14" spans="1:16" ht="13.5" customHeight="1" x14ac:dyDescent="0.25">
      <c r="D14" s="14"/>
      <c r="H14" s="36"/>
      <c r="I14" s="36"/>
      <c r="O14" s="41"/>
      <c r="P14" s="14"/>
    </row>
    <row r="15" spans="1:16" ht="13.5" customHeight="1" x14ac:dyDescent="0.25">
      <c r="A15" s="15" t="s">
        <v>74</v>
      </c>
      <c r="B15" s="48" t="s">
        <v>40</v>
      </c>
      <c r="C15" s="15" t="s">
        <v>74</v>
      </c>
      <c r="D15" s="15" t="s">
        <v>67</v>
      </c>
      <c r="E15" s="15"/>
      <c r="F15" s="15"/>
      <c r="G15" s="15"/>
      <c r="H15" s="31">
        <v>7.8</v>
      </c>
      <c r="I15" s="31">
        <v>1.25</v>
      </c>
      <c r="J15" s="15">
        <v>4.9400000000000004</v>
      </c>
      <c r="K15" s="15">
        <v>150</v>
      </c>
      <c r="L15" s="15"/>
      <c r="M15" s="15"/>
      <c r="N15" s="15" t="s">
        <v>179</v>
      </c>
      <c r="O15" s="38">
        <v>41319</v>
      </c>
      <c r="P15" s="14"/>
    </row>
    <row r="16" spans="1:16" ht="13.5" customHeight="1" x14ac:dyDescent="0.25">
      <c r="B16" s="48" t="s">
        <v>44</v>
      </c>
      <c r="C16" s="15" t="s">
        <v>170</v>
      </c>
      <c r="D16" s="15" t="s">
        <v>185</v>
      </c>
      <c r="E16" s="15"/>
      <c r="F16" s="15"/>
      <c r="G16" s="15"/>
      <c r="H16" s="31">
        <v>1.72</v>
      </c>
      <c r="I16" s="31"/>
      <c r="J16" s="15"/>
      <c r="K16" s="15"/>
      <c r="L16" s="15"/>
      <c r="M16" s="15"/>
      <c r="N16" s="15"/>
      <c r="O16" s="38"/>
      <c r="P16" s="14"/>
    </row>
    <row r="17" spans="1:16" ht="13.5" customHeight="1" x14ac:dyDescent="0.25">
      <c r="B17" s="48" t="s">
        <v>43</v>
      </c>
      <c r="C17" s="15" t="s">
        <v>145</v>
      </c>
      <c r="D17" s="15" t="s">
        <v>185</v>
      </c>
      <c r="E17" s="15"/>
      <c r="F17" s="15"/>
      <c r="G17" s="15"/>
      <c r="H17" s="31">
        <v>1.72</v>
      </c>
      <c r="I17" s="31"/>
      <c r="J17" s="15"/>
      <c r="K17" s="15"/>
      <c r="L17" s="15"/>
      <c r="M17" s="15"/>
      <c r="N17" s="15"/>
      <c r="O17" s="38"/>
      <c r="P17" s="14"/>
    </row>
    <row r="18" spans="1:16" ht="13.5" customHeight="1" x14ac:dyDescent="0.25">
      <c r="B18" s="48" t="s">
        <v>46</v>
      </c>
      <c r="C18" s="15" t="s">
        <v>171</v>
      </c>
      <c r="D18" s="15" t="s">
        <v>185</v>
      </c>
      <c r="E18" s="15"/>
      <c r="F18" s="15"/>
      <c r="G18" s="15"/>
      <c r="H18" s="31">
        <v>1.72</v>
      </c>
      <c r="I18" s="31"/>
      <c r="J18" s="15"/>
      <c r="K18" s="15"/>
      <c r="L18" s="15"/>
      <c r="M18" s="15"/>
      <c r="N18" s="15"/>
      <c r="O18" s="38"/>
      <c r="P18" s="14"/>
    </row>
    <row r="19" spans="1:16" ht="13.5" customHeight="1" x14ac:dyDescent="0.25">
      <c r="B19" s="48" t="s">
        <v>221</v>
      </c>
      <c r="C19" s="15" t="s">
        <v>219</v>
      </c>
      <c r="D19" s="15" t="s">
        <v>222</v>
      </c>
      <c r="E19" s="15"/>
      <c r="F19" s="15"/>
      <c r="G19" s="15"/>
      <c r="H19" s="31">
        <v>1.72</v>
      </c>
      <c r="I19" s="31"/>
      <c r="J19" s="15"/>
      <c r="K19" s="15"/>
      <c r="L19" s="15"/>
      <c r="M19" s="15"/>
      <c r="N19" s="15"/>
      <c r="O19" s="38"/>
      <c r="P19" s="14"/>
    </row>
    <row r="20" spans="1:16" ht="13.5" customHeight="1" x14ac:dyDescent="0.25">
      <c r="B20" s="48" t="s">
        <v>218</v>
      </c>
      <c r="C20" s="15" t="s">
        <v>220</v>
      </c>
      <c r="D20" s="15" t="s">
        <v>222</v>
      </c>
      <c r="E20" s="15"/>
      <c r="F20" s="15"/>
      <c r="G20" s="15"/>
      <c r="H20" s="31">
        <v>1.72</v>
      </c>
      <c r="I20" s="31"/>
      <c r="J20" s="15"/>
      <c r="K20" s="15"/>
      <c r="L20" s="15"/>
      <c r="M20" s="15" t="s">
        <v>179</v>
      </c>
      <c r="N20" s="15" t="s">
        <v>179</v>
      </c>
      <c r="O20" s="38"/>
      <c r="P20" s="14"/>
    </row>
    <row r="21" spans="1:16" ht="13.5" customHeight="1" x14ac:dyDescent="0.25">
      <c r="D21" s="14"/>
      <c r="H21" s="36"/>
      <c r="I21" s="36"/>
      <c r="O21" s="41"/>
      <c r="P21" s="14"/>
    </row>
    <row r="22" spans="1:16" ht="13.5" customHeight="1" x14ac:dyDescent="0.25">
      <c r="A22" s="53" t="s">
        <v>76</v>
      </c>
      <c r="B22" s="48" t="s">
        <v>153</v>
      </c>
      <c r="C22" s="15" t="s">
        <v>150</v>
      </c>
      <c r="D22" s="15" t="s">
        <v>67</v>
      </c>
      <c r="E22" s="15"/>
      <c r="F22" s="15"/>
      <c r="G22" s="15"/>
      <c r="H22" s="31"/>
      <c r="I22" s="31"/>
      <c r="J22" s="15"/>
      <c r="K22" s="15"/>
      <c r="L22" s="15"/>
      <c r="M22" s="15" t="s">
        <v>179</v>
      </c>
      <c r="N22" s="15" t="s">
        <v>179</v>
      </c>
      <c r="O22" s="38">
        <v>41947</v>
      </c>
      <c r="P22" s="14"/>
    </row>
    <row r="23" spans="1:16" ht="13.5" customHeight="1" x14ac:dyDescent="0.25">
      <c r="B23" s="48" t="s">
        <v>154</v>
      </c>
      <c r="C23" s="15" t="s">
        <v>146</v>
      </c>
      <c r="D23" s="15" t="s">
        <v>67</v>
      </c>
      <c r="E23" s="15"/>
      <c r="F23" s="15"/>
      <c r="G23" s="15"/>
      <c r="H23" s="31"/>
      <c r="I23" s="31"/>
      <c r="J23" s="15"/>
      <c r="K23" s="15"/>
      <c r="L23" s="15"/>
      <c r="M23" s="15" t="s">
        <v>179</v>
      </c>
      <c r="N23" s="15" t="s">
        <v>179</v>
      </c>
      <c r="O23" s="38">
        <v>41718</v>
      </c>
      <c r="P23" s="14"/>
    </row>
    <row r="24" spans="1:16" ht="13.5" customHeight="1" x14ac:dyDescent="0.25">
      <c r="B24" s="48" t="s">
        <v>48</v>
      </c>
      <c r="C24" s="15" t="s">
        <v>151</v>
      </c>
      <c r="D24" s="15" t="s">
        <v>67</v>
      </c>
      <c r="E24" s="15"/>
      <c r="F24" s="15"/>
      <c r="G24" s="15"/>
      <c r="H24" s="31"/>
      <c r="I24" s="31"/>
      <c r="J24" s="15"/>
      <c r="K24" s="15"/>
      <c r="L24" s="15"/>
      <c r="M24" s="15"/>
      <c r="N24" s="15"/>
      <c r="O24" s="38"/>
      <c r="P24" s="14"/>
    </row>
    <row r="25" spans="1:16" ht="13.5" customHeight="1" x14ac:dyDescent="0.25">
      <c r="B25" s="48" t="s">
        <v>61</v>
      </c>
      <c r="C25" s="15" t="s">
        <v>152</v>
      </c>
      <c r="D25" s="15" t="s">
        <v>67</v>
      </c>
      <c r="E25" s="15"/>
      <c r="F25" s="15"/>
      <c r="G25" s="15"/>
      <c r="H25" s="31"/>
      <c r="I25" s="31"/>
      <c r="J25" s="15"/>
      <c r="K25" s="15"/>
      <c r="L25" s="15"/>
      <c r="M25" s="15"/>
      <c r="N25" s="15"/>
      <c r="O25" s="38"/>
      <c r="P25" s="14"/>
    </row>
    <row r="26" spans="1:16" ht="13.5" customHeight="1" x14ac:dyDescent="0.25">
      <c r="D26" s="14"/>
      <c r="H26" s="36"/>
      <c r="I26" s="36"/>
      <c r="O26" s="41"/>
      <c r="P26" s="14"/>
    </row>
    <row r="27" spans="1:16" ht="13.5" customHeight="1" x14ac:dyDescent="0.25">
      <c r="A27" s="53" t="s">
        <v>77</v>
      </c>
      <c r="B27" s="48" t="s">
        <v>49</v>
      </c>
      <c r="C27" s="15" t="s">
        <v>155</v>
      </c>
      <c r="D27" s="15" t="s">
        <v>67</v>
      </c>
      <c r="E27" s="15"/>
      <c r="F27" s="15"/>
      <c r="G27" s="15"/>
      <c r="H27" s="31"/>
      <c r="I27" s="31"/>
      <c r="J27" s="15"/>
      <c r="K27" s="15"/>
      <c r="L27" s="15"/>
      <c r="M27" s="15" t="s">
        <v>179</v>
      </c>
      <c r="N27" s="15" t="s">
        <v>179</v>
      </c>
      <c r="O27" s="38">
        <v>41947</v>
      </c>
      <c r="P27" s="14"/>
    </row>
    <row r="28" spans="1:16" ht="13.5" customHeight="1" x14ac:dyDescent="0.25">
      <c r="B28" s="48" t="s">
        <v>50</v>
      </c>
      <c r="C28" s="15" t="s">
        <v>147</v>
      </c>
      <c r="D28" s="15" t="s">
        <v>67</v>
      </c>
      <c r="E28" s="15"/>
      <c r="F28" s="15"/>
      <c r="G28" s="15"/>
      <c r="H28" s="31"/>
      <c r="I28" s="31"/>
      <c r="J28" s="15"/>
      <c r="K28" s="15"/>
      <c r="L28" s="15"/>
      <c r="M28" s="15" t="s">
        <v>179</v>
      </c>
      <c r="N28" s="15" t="s">
        <v>179</v>
      </c>
      <c r="O28" s="38">
        <v>41947</v>
      </c>
      <c r="P28" s="14"/>
    </row>
    <row r="29" spans="1:16" ht="13.5" customHeight="1" x14ac:dyDescent="0.25">
      <c r="B29" s="48" t="s">
        <v>25</v>
      </c>
      <c r="C29" s="15" t="s">
        <v>102</v>
      </c>
      <c r="D29" s="15" t="s">
        <v>184</v>
      </c>
      <c r="E29" s="15"/>
      <c r="F29" s="15"/>
      <c r="G29" s="15"/>
      <c r="H29" s="31"/>
      <c r="I29" s="31"/>
      <c r="J29" s="15"/>
      <c r="K29" s="15"/>
      <c r="L29" s="15"/>
      <c r="M29" s="15"/>
      <c r="N29" s="15" t="s">
        <v>179</v>
      </c>
      <c r="O29" s="38">
        <v>41529</v>
      </c>
      <c r="P29" s="14"/>
    </row>
    <row r="30" spans="1:16" ht="13.5" customHeight="1" x14ac:dyDescent="0.25">
      <c r="B30" s="48" t="s">
        <v>24</v>
      </c>
      <c r="C30" s="15" t="s">
        <v>156</v>
      </c>
      <c r="D30" s="15" t="s">
        <v>25</v>
      </c>
      <c r="E30" s="15"/>
      <c r="F30" s="15"/>
      <c r="G30" s="15"/>
      <c r="H30" s="31"/>
      <c r="I30" s="31"/>
      <c r="J30" s="15"/>
      <c r="K30" s="15"/>
      <c r="L30" s="15"/>
      <c r="M30" s="15"/>
      <c r="N30" s="15" t="s">
        <v>179</v>
      </c>
      <c r="O30" s="38">
        <v>41529</v>
      </c>
      <c r="P30" s="14"/>
    </row>
    <row r="31" spans="1:16" ht="13.5" customHeight="1" x14ac:dyDescent="0.25">
      <c r="B31" s="48" t="s">
        <v>26</v>
      </c>
      <c r="C31" s="15" t="s">
        <v>103</v>
      </c>
      <c r="D31" s="15" t="s">
        <v>184</v>
      </c>
      <c r="E31" s="15"/>
      <c r="F31" s="15"/>
      <c r="G31" s="15"/>
      <c r="H31" s="31"/>
      <c r="I31" s="31"/>
      <c r="J31" s="15"/>
      <c r="K31" s="15"/>
      <c r="L31" s="15"/>
      <c r="M31" s="15" t="s">
        <v>179</v>
      </c>
      <c r="N31" s="15" t="s">
        <v>179</v>
      </c>
      <c r="O31" s="38">
        <v>41947</v>
      </c>
      <c r="P31" s="14"/>
    </row>
    <row r="32" spans="1:16" ht="13.5" customHeight="1" x14ac:dyDescent="0.25">
      <c r="B32" s="48" t="s">
        <v>28</v>
      </c>
      <c r="C32" s="15" t="s">
        <v>89</v>
      </c>
      <c r="D32" s="15" t="s">
        <v>184</v>
      </c>
      <c r="E32" s="15"/>
      <c r="F32" s="15"/>
      <c r="G32" s="15" t="s">
        <v>264</v>
      </c>
      <c r="H32" s="31"/>
      <c r="I32" s="31"/>
      <c r="J32" s="15"/>
      <c r="K32" s="15"/>
      <c r="L32" s="15"/>
      <c r="M32" s="15" t="s">
        <v>179</v>
      </c>
      <c r="N32" s="15" t="s">
        <v>179</v>
      </c>
      <c r="O32" s="38"/>
      <c r="P32" s="14"/>
    </row>
    <row r="33" spans="1:16" ht="13.5" customHeight="1" x14ac:dyDescent="0.25">
      <c r="B33" s="48" t="s">
        <v>27</v>
      </c>
      <c r="C33" s="15" t="s">
        <v>105</v>
      </c>
      <c r="D33" s="15" t="s">
        <v>184</v>
      </c>
      <c r="E33" s="15"/>
      <c r="F33" s="15"/>
      <c r="G33" s="15"/>
      <c r="H33" s="31"/>
      <c r="I33" s="31"/>
      <c r="J33" s="15"/>
      <c r="K33" s="15"/>
      <c r="L33" s="15"/>
      <c r="M33" s="15"/>
      <c r="N33" s="15"/>
      <c r="O33" s="38"/>
      <c r="P33" s="14"/>
    </row>
    <row r="34" spans="1:16" ht="13.5" customHeight="1" x14ac:dyDescent="0.25">
      <c r="B34" s="48" t="s">
        <v>134</v>
      </c>
      <c r="C34" s="15" t="s">
        <v>110</v>
      </c>
      <c r="D34" s="15" t="s">
        <v>67</v>
      </c>
      <c r="E34" s="15"/>
      <c r="F34" s="15"/>
      <c r="G34" s="15"/>
      <c r="H34" s="31"/>
      <c r="I34" s="31"/>
      <c r="J34" s="15"/>
      <c r="K34" s="15"/>
      <c r="L34" s="15"/>
      <c r="M34" s="15"/>
      <c r="N34" s="15"/>
      <c r="O34" s="38"/>
      <c r="P34" s="14"/>
    </row>
    <row r="35" spans="1:16" ht="13.5" customHeight="1" x14ac:dyDescent="0.25">
      <c r="D35" s="14"/>
      <c r="H35" s="36"/>
      <c r="I35" s="36"/>
      <c r="O35" s="41"/>
      <c r="P35" s="14"/>
    </row>
    <row r="36" spans="1:16" ht="13.5" customHeight="1" x14ac:dyDescent="0.25">
      <c r="A36" s="15" t="s">
        <v>80</v>
      </c>
      <c r="B36" s="60" t="s">
        <v>56</v>
      </c>
      <c r="C36" s="15" t="s">
        <v>111</v>
      </c>
      <c r="D36" s="15" t="s">
        <v>113</v>
      </c>
      <c r="E36" s="15"/>
      <c r="F36" s="15"/>
      <c r="G36" s="15"/>
      <c r="H36" s="31"/>
      <c r="I36" s="31"/>
      <c r="J36" s="15"/>
      <c r="K36" s="15"/>
      <c r="L36" s="15"/>
      <c r="M36" s="15" t="s">
        <v>179</v>
      </c>
      <c r="N36" s="15" t="s">
        <v>179</v>
      </c>
      <c r="O36" s="38">
        <v>41947</v>
      </c>
      <c r="P36" s="14"/>
    </row>
    <row r="37" spans="1:16" ht="13.5" customHeight="1" x14ac:dyDescent="0.25">
      <c r="B37" s="48" t="s">
        <v>57</v>
      </c>
      <c r="C37" s="15" t="s">
        <v>112</v>
      </c>
      <c r="D37" s="15" t="s">
        <v>113</v>
      </c>
      <c r="E37" s="15"/>
      <c r="F37" s="15"/>
      <c r="G37" s="15"/>
      <c r="H37" s="31"/>
      <c r="I37" s="31"/>
      <c r="J37" s="15"/>
      <c r="K37" s="15"/>
      <c r="L37" s="15"/>
      <c r="M37" s="15" t="s">
        <v>179</v>
      </c>
      <c r="N37" s="15" t="s">
        <v>179</v>
      </c>
      <c r="O37" s="38">
        <v>41947</v>
      </c>
      <c r="P37" s="14"/>
    </row>
    <row r="38" spans="1:16" ht="13.5" customHeight="1" x14ac:dyDescent="0.25">
      <c r="D38" s="14"/>
      <c r="H38" s="36"/>
      <c r="I38" s="36"/>
      <c r="O38" s="41"/>
      <c r="P38" s="14"/>
    </row>
    <row r="39" spans="1:16" ht="13.5" customHeight="1" x14ac:dyDescent="0.25">
      <c r="A39" s="15" t="s">
        <v>83</v>
      </c>
      <c r="B39" s="60" t="s">
        <v>19</v>
      </c>
      <c r="C39" s="15" t="s">
        <v>130</v>
      </c>
      <c r="D39" s="15" t="s">
        <v>129</v>
      </c>
      <c r="E39" s="15"/>
      <c r="F39" s="15"/>
      <c r="G39" s="15" t="s">
        <v>264</v>
      </c>
      <c r="H39" s="31"/>
      <c r="I39" s="31"/>
      <c r="J39" s="15"/>
      <c r="K39" s="15"/>
      <c r="L39" s="15"/>
      <c r="M39" s="15" t="s">
        <v>179</v>
      </c>
      <c r="N39" s="15"/>
      <c r="O39" s="38"/>
      <c r="P39" s="14"/>
    </row>
    <row r="40" spans="1:16" ht="13.5" customHeight="1" x14ac:dyDescent="0.25">
      <c r="B40" s="48" t="s">
        <v>21</v>
      </c>
      <c r="C40" s="15" t="s">
        <v>131</v>
      </c>
      <c r="D40" s="15" t="s">
        <v>129</v>
      </c>
      <c r="E40" s="15"/>
      <c r="F40" s="15"/>
      <c r="G40" s="15" t="s">
        <v>264</v>
      </c>
      <c r="H40" s="31"/>
      <c r="I40" s="31"/>
      <c r="J40" s="15"/>
      <c r="K40" s="15"/>
      <c r="L40" s="15"/>
      <c r="M40" s="15" t="s">
        <v>179</v>
      </c>
      <c r="N40" s="15" t="s">
        <v>179</v>
      </c>
      <c r="O40" s="38">
        <v>41718</v>
      </c>
      <c r="P40" s="14"/>
    </row>
    <row r="41" spans="1:16" ht="13.5" customHeight="1" x14ac:dyDescent="0.25">
      <c r="B41" s="48" t="s">
        <v>22</v>
      </c>
      <c r="C41" s="15" t="s">
        <v>132</v>
      </c>
      <c r="D41" s="15" t="s">
        <v>129</v>
      </c>
      <c r="E41" s="15"/>
      <c r="F41" s="15"/>
      <c r="G41" s="15" t="s">
        <v>264</v>
      </c>
      <c r="H41" s="31"/>
      <c r="I41" s="31"/>
      <c r="J41" s="15"/>
      <c r="K41" s="15"/>
      <c r="L41" s="15"/>
      <c r="M41" s="15" t="s">
        <v>179</v>
      </c>
      <c r="N41" s="15" t="s">
        <v>179</v>
      </c>
      <c r="O41" s="38">
        <v>41718</v>
      </c>
      <c r="P41" s="14"/>
    </row>
    <row r="42" spans="1:16" ht="13.5" customHeight="1" x14ac:dyDescent="0.25">
      <c r="B42" s="48" t="s">
        <v>160</v>
      </c>
      <c r="C42" s="15" t="s">
        <v>135</v>
      </c>
      <c r="D42" s="15" t="s">
        <v>129</v>
      </c>
      <c r="E42" s="15"/>
      <c r="F42" s="15"/>
      <c r="G42" s="15"/>
      <c r="H42" s="31"/>
      <c r="I42" s="31"/>
      <c r="J42" s="15"/>
      <c r="K42" s="15"/>
      <c r="L42" s="15"/>
      <c r="M42" s="15"/>
      <c r="N42" s="15"/>
      <c r="O42" s="38"/>
      <c r="P42" s="14"/>
    </row>
    <row r="43" spans="1:16" ht="13.5" customHeight="1" x14ac:dyDescent="0.25">
      <c r="B43" s="48" t="s">
        <v>161</v>
      </c>
      <c r="C43" s="15" t="s">
        <v>157</v>
      </c>
      <c r="D43" s="15" t="s">
        <v>129</v>
      </c>
      <c r="E43" s="47"/>
      <c r="F43" s="47"/>
      <c r="G43" s="47"/>
      <c r="H43" s="31">
        <v>6.93</v>
      </c>
      <c r="I43" s="31"/>
      <c r="J43" s="15"/>
      <c r="K43" s="15"/>
      <c r="L43" s="15"/>
      <c r="M43" s="15" t="s">
        <v>179</v>
      </c>
      <c r="N43" s="15"/>
      <c r="O43" s="38"/>
      <c r="P43" s="14"/>
    </row>
    <row r="44" spans="1:16" ht="13.5" customHeight="1" x14ac:dyDescent="0.25">
      <c r="B44" s="48" t="s">
        <v>39</v>
      </c>
      <c r="C44" s="15" t="s">
        <v>136</v>
      </c>
      <c r="D44" s="15" t="s">
        <v>137</v>
      </c>
      <c r="E44" s="15"/>
      <c r="F44" s="15">
        <v>25</v>
      </c>
      <c r="G44" s="15" t="s">
        <v>264</v>
      </c>
      <c r="H44" s="31">
        <v>2.33</v>
      </c>
      <c r="I44" s="31"/>
      <c r="J44" s="15"/>
      <c r="K44" s="15"/>
      <c r="L44" s="15"/>
      <c r="M44" s="15"/>
      <c r="N44" s="15"/>
      <c r="O44" s="38"/>
      <c r="P44" s="14"/>
    </row>
    <row r="45" spans="1:16" ht="13.5" customHeight="1" x14ac:dyDescent="0.25">
      <c r="B45" s="48" t="s">
        <v>138</v>
      </c>
      <c r="C45" s="15" t="s">
        <v>139</v>
      </c>
      <c r="D45" s="15" t="s">
        <v>137</v>
      </c>
      <c r="E45" s="15"/>
      <c r="F45" s="15">
        <v>10</v>
      </c>
      <c r="G45" s="15" t="s">
        <v>264</v>
      </c>
      <c r="H45" s="31">
        <v>3.46</v>
      </c>
      <c r="I45" s="31"/>
      <c r="J45" s="15"/>
      <c r="K45" s="15"/>
      <c r="L45" s="15"/>
      <c r="M45" s="15" t="s">
        <v>179</v>
      </c>
      <c r="N45" s="15"/>
      <c r="O45" s="38"/>
      <c r="P45" s="14"/>
    </row>
    <row r="46" spans="1:16" ht="13.5" customHeight="1" x14ac:dyDescent="0.25">
      <c r="B46" s="48" t="s">
        <v>164</v>
      </c>
      <c r="C46" s="15" t="s">
        <v>162</v>
      </c>
      <c r="D46" s="15" t="s">
        <v>138</v>
      </c>
      <c r="E46" s="15"/>
      <c r="F46" s="15">
        <v>5</v>
      </c>
      <c r="G46" s="15" t="s">
        <v>338</v>
      </c>
      <c r="H46" s="31">
        <v>2.11</v>
      </c>
      <c r="I46" s="31"/>
      <c r="J46" s="15"/>
      <c r="K46" s="15"/>
      <c r="L46" s="15"/>
      <c r="M46" s="15" t="s">
        <v>179</v>
      </c>
      <c r="N46" s="15"/>
      <c r="O46" s="38"/>
      <c r="P46" s="14"/>
    </row>
    <row r="47" spans="1:16" ht="13.5" customHeight="1" x14ac:dyDescent="0.25">
      <c r="B47" s="48" t="s">
        <v>165</v>
      </c>
      <c r="C47" s="15" t="s">
        <v>163</v>
      </c>
      <c r="D47" s="15" t="s">
        <v>138</v>
      </c>
      <c r="E47" s="15"/>
      <c r="F47" s="15">
        <v>10</v>
      </c>
      <c r="G47" s="15" t="s">
        <v>338</v>
      </c>
      <c r="H47" s="31">
        <v>1.5</v>
      </c>
      <c r="I47" s="31"/>
      <c r="J47" s="15"/>
      <c r="K47" s="15"/>
      <c r="L47" s="15"/>
      <c r="M47" s="15" t="s">
        <v>179</v>
      </c>
      <c r="N47" s="15"/>
      <c r="O47" s="38"/>
      <c r="P47" s="14"/>
    </row>
    <row r="48" spans="1:16" ht="13.5" customHeight="1" x14ac:dyDescent="0.25">
      <c r="B48" s="48" t="s">
        <v>17</v>
      </c>
      <c r="C48" s="15" t="s">
        <v>158</v>
      </c>
      <c r="D48" s="15" t="s">
        <v>137</v>
      </c>
      <c r="E48" s="15"/>
      <c r="F48" s="15">
        <v>30</v>
      </c>
      <c r="G48" s="15" t="s">
        <v>264</v>
      </c>
      <c r="H48" s="31">
        <v>2.1</v>
      </c>
      <c r="I48" s="31"/>
      <c r="J48" s="15"/>
      <c r="K48" s="15"/>
      <c r="L48" s="15"/>
      <c r="M48" s="15" t="s">
        <v>179</v>
      </c>
      <c r="N48" s="15" t="s">
        <v>179</v>
      </c>
      <c r="O48" s="38"/>
      <c r="P48" s="14"/>
    </row>
    <row r="49" spans="1:16" ht="13.5" customHeight="1" x14ac:dyDescent="0.25">
      <c r="B49" s="48" t="s">
        <v>142</v>
      </c>
      <c r="C49" s="15" t="s">
        <v>143</v>
      </c>
      <c r="D49" s="15" t="s">
        <v>137</v>
      </c>
      <c r="E49" s="15"/>
      <c r="F49" s="15">
        <v>20</v>
      </c>
      <c r="G49" s="15" t="s">
        <v>264</v>
      </c>
      <c r="H49" s="31">
        <v>2.62</v>
      </c>
      <c r="I49" s="31"/>
      <c r="J49" s="15"/>
      <c r="K49" s="15"/>
      <c r="L49" s="15"/>
      <c r="M49" s="15" t="s">
        <v>179</v>
      </c>
      <c r="N49" s="15" t="s">
        <v>179</v>
      </c>
      <c r="O49" s="38">
        <v>41947</v>
      </c>
      <c r="P49" s="14"/>
    </row>
    <row r="50" spans="1:16" ht="13.5" customHeight="1" x14ac:dyDescent="0.25">
      <c r="B50" s="48" t="s">
        <v>20</v>
      </c>
      <c r="C50" s="15" t="s">
        <v>159</v>
      </c>
      <c r="D50" s="15" t="s">
        <v>137</v>
      </c>
      <c r="E50" s="15"/>
      <c r="F50" s="15">
        <v>30</v>
      </c>
      <c r="G50" s="15" t="s">
        <v>264</v>
      </c>
      <c r="H50" s="31">
        <v>2.1</v>
      </c>
      <c r="I50" s="31"/>
      <c r="J50" s="15"/>
      <c r="K50" s="15"/>
      <c r="L50" s="15"/>
      <c r="M50" s="15" t="s">
        <v>179</v>
      </c>
      <c r="N50" s="15" t="s">
        <v>179</v>
      </c>
      <c r="O50" s="38"/>
      <c r="P50" s="14"/>
    </row>
    <row r="51" spans="1:16" ht="13.5" customHeight="1" x14ac:dyDescent="0.25">
      <c r="B51" s="48" t="s">
        <v>199</v>
      </c>
      <c r="C51" s="15" t="s">
        <v>197</v>
      </c>
      <c r="D51" s="15" t="s">
        <v>137</v>
      </c>
      <c r="E51" s="29"/>
      <c r="F51" s="29">
        <v>50</v>
      </c>
      <c r="G51" s="15" t="s">
        <v>264</v>
      </c>
      <c r="H51" s="32">
        <v>1.5</v>
      </c>
      <c r="I51" s="32"/>
      <c r="J51" s="29"/>
      <c r="K51" s="29"/>
      <c r="L51" s="29"/>
      <c r="M51" s="29" t="s">
        <v>179</v>
      </c>
      <c r="N51" s="29" t="s">
        <v>179</v>
      </c>
      <c r="O51" s="39"/>
      <c r="P51" s="14"/>
    </row>
    <row r="52" spans="1:16" ht="13.5" customHeight="1" x14ac:dyDescent="0.25">
      <c r="B52" s="48" t="s">
        <v>200</v>
      </c>
      <c r="C52" s="53" t="s">
        <v>198</v>
      </c>
      <c r="D52" s="15" t="s">
        <v>137</v>
      </c>
      <c r="E52" s="15"/>
      <c r="F52" s="15">
        <v>30</v>
      </c>
      <c r="G52" s="15" t="s">
        <v>264</v>
      </c>
      <c r="H52" s="31">
        <v>2.1</v>
      </c>
      <c r="I52" s="31"/>
      <c r="J52" s="15"/>
      <c r="K52" s="15"/>
      <c r="L52" s="15"/>
      <c r="M52" s="15" t="s">
        <v>179</v>
      </c>
      <c r="N52" s="15" t="s">
        <v>179</v>
      </c>
      <c r="O52" s="38"/>
      <c r="P52" s="14"/>
    </row>
    <row r="53" spans="1:16" ht="13.5" customHeight="1" x14ac:dyDescent="0.25">
      <c r="B53" s="49"/>
      <c r="C53" s="16"/>
      <c r="D53" s="16"/>
      <c r="E53" s="16"/>
      <c r="F53" s="16"/>
      <c r="G53" s="16"/>
      <c r="H53" s="33"/>
      <c r="I53" s="33"/>
      <c r="J53" s="16"/>
      <c r="K53" s="16"/>
      <c r="L53" s="16"/>
      <c r="M53" s="16"/>
      <c r="N53" s="16"/>
      <c r="O53" s="40"/>
      <c r="P53" s="14"/>
    </row>
    <row r="54" spans="1:16" ht="13.5" customHeight="1" x14ac:dyDescent="0.25">
      <c r="B54" s="49"/>
      <c r="C54" s="16"/>
      <c r="D54" s="16"/>
      <c r="E54" s="16"/>
      <c r="F54" s="16"/>
      <c r="G54" s="16"/>
      <c r="H54" s="33"/>
      <c r="I54" s="33"/>
      <c r="J54" s="16"/>
      <c r="K54" s="16"/>
      <c r="L54" s="16"/>
      <c r="M54" s="16"/>
      <c r="N54" s="16"/>
      <c r="O54" s="40"/>
      <c r="P54" s="14"/>
    </row>
    <row r="55" spans="1:16" ht="13.5" customHeight="1" x14ac:dyDescent="0.25">
      <c r="B55" s="49"/>
      <c r="C55" s="16"/>
      <c r="D55" s="16"/>
      <c r="E55" s="16"/>
      <c r="F55" s="16"/>
      <c r="G55" s="16"/>
      <c r="H55" s="33"/>
      <c r="I55" s="33"/>
      <c r="J55" s="16"/>
      <c r="K55" s="16"/>
      <c r="L55" s="16"/>
      <c r="M55" s="16"/>
      <c r="N55" s="16"/>
      <c r="O55" s="40"/>
      <c r="P55" s="14"/>
    </row>
    <row r="56" spans="1:16" ht="41.25" customHeight="1" x14ac:dyDescent="0.25">
      <c r="B56" s="49"/>
      <c r="C56" s="16"/>
      <c r="D56" s="18" t="s">
        <v>340</v>
      </c>
      <c r="E56" s="18" t="s">
        <v>341</v>
      </c>
      <c r="F56" s="18" t="s">
        <v>342</v>
      </c>
      <c r="G56" s="18" t="s">
        <v>343</v>
      </c>
      <c r="H56" s="35" t="s">
        <v>183</v>
      </c>
      <c r="I56" s="35" t="s">
        <v>344</v>
      </c>
      <c r="J56" s="18" t="s">
        <v>339</v>
      </c>
      <c r="K56" s="18" t="s">
        <v>348</v>
      </c>
      <c r="L56" s="18" t="s">
        <v>224</v>
      </c>
      <c r="M56" s="18" t="s">
        <v>223</v>
      </c>
      <c r="N56" s="18" t="s">
        <v>173</v>
      </c>
      <c r="O56" s="45" t="s">
        <v>172</v>
      </c>
      <c r="P56" s="14"/>
    </row>
    <row r="57" spans="1:16" ht="13.5" customHeight="1" x14ac:dyDescent="0.25">
      <c r="A57" s="15" t="s">
        <v>84</v>
      </c>
      <c r="B57" s="48" t="s">
        <v>167</v>
      </c>
      <c r="C57" s="15" t="s">
        <v>84</v>
      </c>
      <c r="D57" s="15" t="s">
        <v>67</v>
      </c>
      <c r="E57" s="15"/>
      <c r="F57" s="15"/>
      <c r="G57" s="15"/>
      <c r="H57" s="31"/>
      <c r="I57" s="31"/>
      <c r="J57" s="15"/>
      <c r="K57" s="15"/>
      <c r="L57" s="15"/>
      <c r="M57" s="15" t="s">
        <v>179</v>
      </c>
      <c r="N57" s="15"/>
      <c r="O57" s="38"/>
      <c r="P57" s="14"/>
    </row>
    <row r="58" spans="1:16" ht="13.5" customHeight="1" x14ac:dyDescent="0.25">
      <c r="B58" s="48" t="s">
        <v>60</v>
      </c>
      <c r="C58" s="15" t="s">
        <v>166</v>
      </c>
      <c r="D58" s="15" t="s">
        <v>67</v>
      </c>
      <c r="E58" s="15"/>
      <c r="F58" s="15"/>
      <c r="G58" s="15"/>
      <c r="H58" s="31"/>
      <c r="I58" s="31"/>
      <c r="J58" s="15"/>
      <c r="K58" s="15"/>
      <c r="L58" s="15"/>
      <c r="M58" s="15"/>
      <c r="N58" s="15" t="s">
        <v>179</v>
      </c>
      <c r="O58" s="38">
        <v>41718</v>
      </c>
      <c r="P58" s="14"/>
    </row>
    <row r="59" spans="1:16" ht="13.5" customHeight="1" x14ac:dyDescent="0.25">
      <c r="D59" s="14"/>
      <c r="H59" s="36"/>
      <c r="I59" s="36"/>
      <c r="O59" s="41"/>
      <c r="P59" s="14"/>
    </row>
    <row r="60" spans="1:16" ht="13.5" customHeight="1" x14ac:dyDescent="0.25">
      <c r="A60" s="15" t="s">
        <v>85</v>
      </c>
      <c r="B60" s="60" t="s">
        <v>53</v>
      </c>
      <c r="C60" s="15" t="s">
        <v>191</v>
      </c>
      <c r="D60" s="15" t="s">
        <v>101</v>
      </c>
      <c r="E60" s="15"/>
      <c r="F60" s="15">
        <v>45</v>
      </c>
      <c r="G60" s="15" t="s">
        <v>262</v>
      </c>
      <c r="H60" s="31"/>
      <c r="I60" s="31">
        <v>3.08</v>
      </c>
      <c r="J60" s="15">
        <v>12.3</v>
      </c>
      <c r="K60" s="15">
        <v>463</v>
      </c>
      <c r="L60" s="15"/>
      <c r="M60" s="15" t="s">
        <v>179</v>
      </c>
      <c r="N60" s="15" t="s">
        <v>179</v>
      </c>
      <c r="O60" s="38">
        <v>41718</v>
      </c>
      <c r="P60" s="14"/>
    </row>
    <row r="61" spans="1:16" ht="13.5" customHeight="1" x14ac:dyDescent="0.25">
      <c r="B61" s="48" t="s">
        <v>54</v>
      </c>
      <c r="C61" s="15" t="s">
        <v>192</v>
      </c>
      <c r="D61" s="15" t="s">
        <v>101</v>
      </c>
      <c r="E61" s="15"/>
      <c r="F61" s="15"/>
      <c r="G61" s="15"/>
      <c r="H61" s="31"/>
      <c r="I61" s="31"/>
      <c r="J61" s="15"/>
      <c r="K61" s="15">
        <v>420</v>
      </c>
      <c r="L61" s="15"/>
      <c r="M61" s="15" t="s">
        <v>179</v>
      </c>
      <c r="N61" s="15"/>
      <c r="O61" s="38"/>
      <c r="P61" s="14"/>
    </row>
    <row r="62" spans="1:16" ht="13.5" customHeight="1" x14ac:dyDescent="0.25">
      <c r="B62" s="48" t="s">
        <v>55</v>
      </c>
      <c r="C62" s="15" t="s">
        <v>193</v>
      </c>
      <c r="D62" s="15" t="s">
        <v>101</v>
      </c>
      <c r="E62" s="15"/>
      <c r="F62" s="15"/>
      <c r="G62" s="15"/>
      <c r="H62" s="31"/>
      <c r="I62" s="31"/>
      <c r="J62" s="15"/>
      <c r="K62" s="15">
        <v>432</v>
      </c>
      <c r="L62" s="15"/>
      <c r="M62" s="15" t="s">
        <v>179</v>
      </c>
      <c r="N62" s="15"/>
      <c r="O62" s="38"/>
      <c r="P62" s="14"/>
    </row>
    <row r="63" spans="1:16" ht="13.5" customHeight="1" x14ac:dyDescent="0.25">
      <c r="B63" s="48" t="s">
        <v>168</v>
      </c>
      <c r="C63" s="15" t="s">
        <v>194</v>
      </c>
      <c r="D63" s="15" t="s">
        <v>101</v>
      </c>
      <c r="E63" s="15"/>
      <c r="F63" s="15"/>
      <c r="G63" s="15"/>
      <c r="H63" s="31"/>
      <c r="I63" s="31"/>
      <c r="J63" s="15"/>
      <c r="K63" s="15"/>
      <c r="L63" s="15"/>
      <c r="M63" s="15"/>
      <c r="N63" s="15"/>
      <c r="O63" s="38"/>
      <c r="P63" s="14"/>
    </row>
    <row r="64" spans="1:16" ht="13.5" customHeight="1" x14ac:dyDescent="0.25">
      <c r="B64" s="48" t="s">
        <v>52</v>
      </c>
      <c r="C64" s="15" t="s">
        <v>350</v>
      </c>
      <c r="D64" s="15" t="s">
        <v>101</v>
      </c>
      <c r="E64" s="15"/>
      <c r="F64" s="15">
        <v>65</v>
      </c>
      <c r="G64" s="15" t="s">
        <v>351</v>
      </c>
      <c r="H64" s="31"/>
      <c r="I64" s="31">
        <v>3.96</v>
      </c>
      <c r="J64" s="15">
        <v>16.05</v>
      </c>
      <c r="K64" s="15">
        <v>440</v>
      </c>
      <c r="L64" s="15"/>
      <c r="M64" s="15"/>
      <c r="N64" s="15"/>
      <c r="O64" s="38"/>
      <c r="P64" s="14"/>
    </row>
    <row r="65" spans="1:16" ht="13.5" customHeight="1" x14ac:dyDescent="0.25">
      <c r="B65" s="48" t="s">
        <v>140</v>
      </c>
      <c r="C65" s="15"/>
      <c r="D65" s="15" t="s">
        <v>101</v>
      </c>
      <c r="E65" s="15"/>
      <c r="F65" s="15"/>
      <c r="G65" s="15"/>
      <c r="H65" s="31"/>
      <c r="I65" s="31"/>
      <c r="J65" s="15"/>
      <c r="K65" s="15">
        <v>420</v>
      </c>
      <c r="L65" s="15"/>
      <c r="M65" s="15"/>
      <c r="N65" s="15"/>
      <c r="O65" s="38"/>
      <c r="P65" s="14"/>
    </row>
    <row r="66" spans="1:16" ht="13.5" customHeight="1" x14ac:dyDescent="0.25">
      <c r="D66" s="14"/>
      <c r="H66" s="36"/>
      <c r="I66" s="36"/>
      <c r="O66" s="41"/>
      <c r="P66" s="14"/>
    </row>
    <row r="67" spans="1:16" ht="13.5" customHeight="1" x14ac:dyDescent="0.25">
      <c r="A67" s="15" t="s">
        <v>87</v>
      </c>
      <c r="B67" s="48" t="s">
        <v>35</v>
      </c>
      <c r="C67" s="15" t="s">
        <v>88</v>
      </c>
      <c r="D67" s="15" t="s">
        <v>184</v>
      </c>
      <c r="E67" s="15"/>
      <c r="F67" s="15"/>
      <c r="G67" s="15"/>
      <c r="H67" s="31"/>
      <c r="I67" s="31"/>
      <c r="J67" s="15"/>
      <c r="K67" s="15"/>
      <c r="L67" s="15"/>
      <c r="M67" s="15"/>
      <c r="N67" s="15" t="s">
        <v>179</v>
      </c>
      <c r="O67" s="38">
        <v>41947</v>
      </c>
      <c r="P67" s="14"/>
    </row>
    <row r="68" spans="1:16" ht="13.5" customHeight="1" x14ac:dyDescent="0.25">
      <c r="B68" s="48" t="s">
        <v>169</v>
      </c>
      <c r="C68" s="15" t="s">
        <v>97</v>
      </c>
      <c r="D68" s="15" t="s">
        <v>184</v>
      </c>
      <c r="E68" s="15"/>
      <c r="F68" s="15"/>
      <c r="G68" s="15"/>
      <c r="H68" s="31"/>
      <c r="I68" s="31"/>
      <c r="J68" s="15"/>
      <c r="K68" s="15"/>
      <c r="L68" s="15"/>
      <c r="M68" s="15"/>
      <c r="N68" s="15"/>
      <c r="O68" s="38"/>
      <c r="P68" s="14"/>
    </row>
    <row r="69" spans="1:16" ht="13.5" customHeight="1" x14ac:dyDescent="0.25">
      <c r="B69" s="48" t="s">
        <v>37</v>
      </c>
      <c r="C69" s="15" t="s">
        <v>96</v>
      </c>
      <c r="D69" s="15" t="s">
        <v>184</v>
      </c>
      <c r="E69" s="15"/>
      <c r="F69" s="15"/>
      <c r="G69" s="15"/>
      <c r="H69" s="31"/>
      <c r="I69" s="31"/>
      <c r="J69" s="15"/>
      <c r="K69" s="15"/>
      <c r="L69" s="15"/>
      <c r="M69" s="15"/>
      <c r="N69" s="15" t="s">
        <v>179</v>
      </c>
      <c r="O69" s="38">
        <v>41947</v>
      </c>
      <c r="P69" s="14"/>
    </row>
    <row r="70" spans="1:16" ht="13.5" customHeight="1" x14ac:dyDescent="0.25">
      <c r="D70" s="14"/>
      <c r="H70" s="36"/>
      <c r="I70" s="36"/>
      <c r="O70" s="41"/>
      <c r="P70" s="14"/>
    </row>
    <row r="71" spans="1:16" ht="13.5" customHeight="1" x14ac:dyDescent="0.25">
      <c r="A71" s="15" t="s">
        <v>94</v>
      </c>
      <c r="B71" s="48" t="s">
        <v>2</v>
      </c>
      <c r="C71" s="15" t="s">
        <v>118</v>
      </c>
      <c r="D71" s="15" t="s">
        <v>116</v>
      </c>
      <c r="E71" s="15"/>
      <c r="F71" s="15">
        <v>40</v>
      </c>
      <c r="G71" s="15" t="s">
        <v>264</v>
      </c>
      <c r="H71" s="31"/>
      <c r="I71" s="31"/>
      <c r="J71" s="15"/>
      <c r="K71" s="15"/>
      <c r="L71" s="15"/>
      <c r="M71" s="15" t="s">
        <v>179</v>
      </c>
      <c r="N71" s="15" t="s">
        <v>179</v>
      </c>
      <c r="O71" s="38"/>
      <c r="P71" s="14"/>
    </row>
    <row r="72" spans="1:16" ht="13.5" customHeight="1" x14ac:dyDescent="0.25">
      <c r="B72" s="48" t="s">
        <v>6</v>
      </c>
      <c r="C72" s="15" t="s">
        <v>127</v>
      </c>
      <c r="D72" s="15" t="s">
        <v>116</v>
      </c>
      <c r="E72" s="15"/>
      <c r="F72" s="15"/>
      <c r="G72" s="15"/>
      <c r="H72" s="31"/>
      <c r="I72" s="31"/>
      <c r="J72" s="15"/>
      <c r="K72" s="15"/>
      <c r="L72" s="15"/>
      <c r="M72" s="15"/>
      <c r="N72" s="15"/>
      <c r="O72" s="38"/>
      <c r="P72" s="14"/>
    </row>
    <row r="73" spans="1:16" ht="13.5" customHeight="1" x14ac:dyDescent="0.25">
      <c r="B73" s="48" t="s">
        <v>201</v>
      </c>
      <c r="C73" s="15" t="s">
        <v>123</v>
      </c>
      <c r="D73" s="15" t="s">
        <v>116</v>
      </c>
      <c r="E73" s="15"/>
      <c r="F73" s="15"/>
      <c r="G73" s="15"/>
      <c r="H73" s="31"/>
      <c r="I73" s="31"/>
      <c r="J73" s="15"/>
      <c r="K73" s="15"/>
      <c r="L73" s="15"/>
      <c r="M73" s="15"/>
      <c r="N73" s="15"/>
      <c r="O73" s="38"/>
      <c r="P73" s="14"/>
    </row>
    <row r="74" spans="1:16" ht="13.5" customHeight="1" x14ac:dyDescent="0.25">
      <c r="B74" s="48" t="s">
        <v>13</v>
      </c>
      <c r="C74" s="15" t="s">
        <v>124</v>
      </c>
      <c r="D74" s="15" t="s">
        <v>116</v>
      </c>
      <c r="E74" s="15">
        <v>1104</v>
      </c>
      <c r="F74" s="15">
        <v>70</v>
      </c>
      <c r="G74" s="15" t="s">
        <v>264</v>
      </c>
      <c r="H74" s="31">
        <v>1.25</v>
      </c>
      <c r="I74" s="31"/>
      <c r="J74" s="15"/>
      <c r="K74" s="15"/>
      <c r="L74" s="15">
        <v>239</v>
      </c>
      <c r="M74" s="15" t="s">
        <v>179</v>
      </c>
      <c r="N74" s="15" t="s">
        <v>179</v>
      </c>
      <c r="O74" s="38"/>
      <c r="P74" s="14"/>
    </row>
    <row r="75" spans="1:16" ht="13.5" customHeight="1" x14ac:dyDescent="0.25">
      <c r="B75" s="48" t="s">
        <v>14</v>
      </c>
      <c r="C75" s="15" t="s">
        <v>125</v>
      </c>
      <c r="D75" s="15" t="s">
        <v>116</v>
      </c>
      <c r="E75" s="15">
        <v>1105</v>
      </c>
      <c r="F75" s="15">
        <v>80</v>
      </c>
      <c r="G75" s="15" t="s">
        <v>264</v>
      </c>
      <c r="H75" s="31">
        <v>1.1200000000000001</v>
      </c>
      <c r="I75" s="31"/>
      <c r="J75" s="15"/>
      <c r="K75" s="15"/>
      <c r="L75" s="15">
        <v>238</v>
      </c>
      <c r="M75" s="15"/>
      <c r="N75" s="15" t="s">
        <v>179</v>
      </c>
      <c r="O75" s="38">
        <v>41529</v>
      </c>
      <c r="P75" s="14"/>
    </row>
    <row r="76" spans="1:16" ht="13.5" customHeight="1" x14ac:dyDescent="0.25">
      <c r="B76" s="48" t="s">
        <v>12</v>
      </c>
      <c r="C76" s="15" t="s">
        <v>126</v>
      </c>
      <c r="D76" s="15" t="s">
        <v>116</v>
      </c>
      <c r="E76" s="15">
        <v>1106</v>
      </c>
      <c r="F76" s="15">
        <v>50</v>
      </c>
      <c r="G76" s="15" t="s">
        <v>264</v>
      </c>
      <c r="H76" s="31">
        <v>1.64</v>
      </c>
      <c r="I76" s="31"/>
      <c r="J76" s="15"/>
      <c r="K76" s="15"/>
      <c r="L76" s="15">
        <v>237</v>
      </c>
      <c r="M76" s="15" t="s">
        <v>179</v>
      </c>
      <c r="N76" s="15"/>
      <c r="O76" s="38"/>
      <c r="P76" s="14"/>
    </row>
    <row r="77" spans="1:16" ht="13.5" customHeight="1" x14ac:dyDescent="0.25">
      <c r="B77" s="48" t="s">
        <v>7</v>
      </c>
      <c r="C77" s="15" t="s">
        <v>122</v>
      </c>
      <c r="D77" s="15" t="s">
        <v>116</v>
      </c>
      <c r="E77" s="15"/>
      <c r="F77" s="15"/>
      <c r="G77" s="15"/>
      <c r="H77" s="31"/>
      <c r="I77" s="31"/>
      <c r="J77" s="15"/>
      <c r="K77" s="15"/>
      <c r="L77" s="15"/>
      <c r="M77" s="15"/>
      <c r="N77" s="15" t="s">
        <v>179</v>
      </c>
      <c r="O77" s="38">
        <v>41718</v>
      </c>
      <c r="P77" s="14"/>
    </row>
    <row r="78" spans="1:16" ht="13.5" customHeight="1" x14ac:dyDescent="0.25">
      <c r="B78" s="48" t="s">
        <v>11</v>
      </c>
      <c r="C78" s="15" t="s">
        <v>174</v>
      </c>
      <c r="D78" s="15" t="s">
        <v>116</v>
      </c>
      <c r="E78" s="15">
        <v>1107</v>
      </c>
      <c r="F78" s="15">
        <v>30</v>
      </c>
      <c r="G78" s="15" t="s">
        <v>264</v>
      </c>
      <c r="H78" s="31">
        <v>2.36</v>
      </c>
      <c r="I78" s="31"/>
      <c r="J78" s="15"/>
      <c r="K78" s="15"/>
      <c r="L78" s="15">
        <v>242</v>
      </c>
      <c r="M78" s="15" t="s">
        <v>179</v>
      </c>
      <c r="N78" s="15" t="s">
        <v>179</v>
      </c>
      <c r="O78" s="38"/>
      <c r="P78" s="14"/>
    </row>
    <row r="79" spans="1:16" ht="13.5" customHeight="1" x14ac:dyDescent="0.25">
      <c r="B79" s="48" t="s">
        <v>176</v>
      </c>
      <c r="C79" s="15" t="s">
        <v>175</v>
      </c>
      <c r="D79" s="15" t="s">
        <v>116</v>
      </c>
      <c r="E79" s="15">
        <v>1102</v>
      </c>
      <c r="F79" s="15">
        <v>65</v>
      </c>
      <c r="G79" s="15" t="s">
        <v>264</v>
      </c>
      <c r="H79" s="31">
        <v>1.42</v>
      </c>
      <c r="I79" s="31"/>
      <c r="J79" s="15"/>
      <c r="K79" s="15"/>
      <c r="L79" s="15">
        <v>248</v>
      </c>
      <c r="M79" s="15" t="s">
        <v>179</v>
      </c>
      <c r="N79" s="15" t="s">
        <v>179</v>
      </c>
      <c r="O79" s="38">
        <v>41947</v>
      </c>
      <c r="P79" s="14"/>
    </row>
    <row r="80" spans="1:16" ht="13.5" customHeight="1" x14ac:dyDescent="0.25">
      <c r="B80" s="48" t="s">
        <v>195</v>
      </c>
      <c r="C80" s="15" t="s">
        <v>121</v>
      </c>
      <c r="D80" s="15" t="s">
        <v>116</v>
      </c>
      <c r="E80" s="15">
        <v>1101</v>
      </c>
      <c r="F80" s="15">
        <v>45</v>
      </c>
      <c r="G80" s="15" t="s">
        <v>264</v>
      </c>
      <c r="H80" s="31">
        <v>1.78</v>
      </c>
      <c r="I80" s="31"/>
      <c r="J80" s="15"/>
      <c r="K80" s="15"/>
      <c r="L80" s="15">
        <v>249</v>
      </c>
      <c r="M80" s="15" t="s">
        <v>179</v>
      </c>
      <c r="N80" s="15" t="s">
        <v>179</v>
      </c>
      <c r="O80" s="38"/>
      <c r="P80" s="14"/>
    </row>
    <row r="81" spans="1:16" ht="13.5" customHeight="1" x14ac:dyDescent="0.25">
      <c r="B81" s="48" t="s">
        <v>177</v>
      </c>
      <c r="C81" s="15" t="s">
        <v>120</v>
      </c>
      <c r="D81" s="15" t="s">
        <v>116</v>
      </c>
      <c r="E81" s="15"/>
      <c r="F81" s="15"/>
      <c r="G81" s="15"/>
      <c r="H81" s="31"/>
      <c r="I81" s="31"/>
      <c r="J81" s="15"/>
      <c r="K81" s="15"/>
      <c r="L81" s="15"/>
      <c r="M81" s="15"/>
      <c r="N81" s="15"/>
      <c r="O81" s="38"/>
      <c r="P81" s="14"/>
    </row>
    <row r="82" spans="1:16" ht="13.5" customHeight="1" x14ac:dyDescent="0.25">
      <c r="B82" s="48" t="s">
        <v>133</v>
      </c>
      <c r="C82" s="81" t="s">
        <v>119</v>
      </c>
      <c r="D82" s="15" t="s">
        <v>116</v>
      </c>
      <c r="E82" s="15"/>
      <c r="F82" s="15">
        <v>4</v>
      </c>
      <c r="G82" s="15" t="s">
        <v>264</v>
      </c>
      <c r="H82" s="31"/>
      <c r="I82" s="31"/>
      <c r="J82" s="15"/>
      <c r="K82" s="15"/>
      <c r="L82" s="15"/>
      <c r="M82" s="15" t="s">
        <v>179</v>
      </c>
      <c r="N82" s="15"/>
      <c r="O82" s="38"/>
      <c r="P82" s="14"/>
    </row>
    <row r="83" spans="1:16" ht="13.5" customHeight="1" x14ac:dyDescent="0.25">
      <c r="B83" s="48" t="s">
        <v>266</v>
      </c>
      <c r="C83" s="82"/>
      <c r="D83" s="15" t="s">
        <v>116</v>
      </c>
      <c r="E83" s="15"/>
      <c r="F83" s="15">
        <v>15</v>
      </c>
      <c r="G83" s="15" t="s">
        <v>264</v>
      </c>
      <c r="H83" s="31"/>
      <c r="I83" s="31"/>
      <c r="J83" s="15"/>
      <c r="K83" s="15"/>
      <c r="L83" s="15"/>
      <c r="M83" s="15" t="s">
        <v>179</v>
      </c>
      <c r="N83" s="15"/>
      <c r="O83" s="38"/>
      <c r="P83" s="14"/>
    </row>
    <row r="84" spans="1:16" ht="13.5" customHeight="1" x14ac:dyDescent="0.25">
      <c r="B84" s="48" t="s">
        <v>267</v>
      </c>
      <c r="C84" s="83"/>
      <c r="D84" s="15" t="s">
        <v>133</v>
      </c>
      <c r="E84" s="15">
        <v>1103</v>
      </c>
      <c r="F84" s="15">
        <v>70</v>
      </c>
      <c r="G84" s="15" t="s">
        <v>315</v>
      </c>
      <c r="H84" s="31"/>
      <c r="I84" s="31"/>
      <c r="J84" s="15"/>
      <c r="K84" s="15"/>
      <c r="L84" s="15">
        <v>295</v>
      </c>
      <c r="M84" s="15" t="s">
        <v>179</v>
      </c>
      <c r="N84" s="15"/>
      <c r="O84" s="38"/>
      <c r="P84" s="14"/>
    </row>
    <row r="85" spans="1:16" ht="13.5" customHeight="1" x14ac:dyDescent="0.25">
      <c r="B85" s="48" t="s">
        <v>178</v>
      </c>
      <c r="C85" s="15" t="s">
        <v>115</v>
      </c>
      <c r="D85" s="15" t="s">
        <v>116</v>
      </c>
      <c r="E85" s="15"/>
      <c r="F85" s="15"/>
      <c r="G85" s="15"/>
      <c r="H85" s="31"/>
      <c r="I85" s="31"/>
      <c r="J85" s="15"/>
      <c r="K85" s="15"/>
      <c r="L85" s="15"/>
      <c r="M85" s="15" t="s">
        <v>179</v>
      </c>
      <c r="N85" s="15"/>
      <c r="O85" s="38"/>
      <c r="P85" s="14"/>
    </row>
    <row r="86" spans="1:16" ht="13.5" customHeight="1" x14ac:dyDescent="0.25">
      <c r="B86" s="49"/>
      <c r="C86" s="16"/>
      <c r="D86" s="16"/>
      <c r="E86" s="16"/>
      <c r="F86" s="16"/>
      <c r="G86" s="16"/>
      <c r="H86" s="33"/>
      <c r="I86" s="33"/>
      <c r="J86" s="16"/>
      <c r="K86" s="16"/>
      <c r="L86" s="16"/>
      <c r="M86" s="16"/>
      <c r="N86" s="16"/>
      <c r="O86" s="40"/>
      <c r="P86" s="14"/>
    </row>
    <row r="87" spans="1:16" ht="13.5" customHeight="1" x14ac:dyDescent="0.25">
      <c r="A87" s="15" t="s">
        <v>114</v>
      </c>
      <c r="B87" s="48" t="s">
        <v>0</v>
      </c>
      <c r="C87" s="58" t="s">
        <v>114</v>
      </c>
      <c r="D87" s="15" t="s">
        <v>66</v>
      </c>
      <c r="E87" s="15"/>
      <c r="F87" s="15"/>
      <c r="G87" s="15"/>
      <c r="H87" s="34"/>
      <c r="I87" s="34"/>
      <c r="J87" s="15"/>
      <c r="K87" s="15"/>
      <c r="L87" s="15"/>
      <c r="M87" s="15"/>
      <c r="N87" s="15"/>
      <c r="O87" s="38"/>
      <c r="P87" s="14"/>
    </row>
    <row r="88" spans="1:16" ht="13.5" customHeight="1" x14ac:dyDescent="0.25">
      <c r="B88" s="50" t="s">
        <v>5</v>
      </c>
      <c r="C88" s="15" t="s">
        <v>117</v>
      </c>
      <c r="D88" s="58" t="s">
        <v>66</v>
      </c>
      <c r="E88" s="15"/>
      <c r="F88" s="15"/>
      <c r="G88" s="15"/>
      <c r="H88" s="31"/>
      <c r="I88" s="31"/>
      <c r="J88" s="15"/>
      <c r="K88" s="15"/>
      <c r="L88" s="15"/>
      <c r="M88" s="15"/>
      <c r="N88" s="15"/>
      <c r="O88" s="38"/>
      <c r="P88" s="14"/>
    </row>
    <row r="90" spans="1:16" ht="13.5" customHeight="1" x14ac:dyDescent="0.25">
      <c r="P90" s="14"/>
    </row>
    <row r="91" spans="1:16" s="1" customFormat="1" ht="27.75" customHeight="1" x14ac:dyDescent="0.25">
      <c r="A91" s="5" t="s">
        <v>196</v>
      </c>
      <c r="B91" s="61"/>
      <c r="C91" s="18" t="s">
        <v>347</v>
      </c>
      <c r="D91" s="5" t="s">
        <v>349</v>
      </c>
      <c r="E91" s="35" t="s">
        <v>226</v>
      </c>
      <c r="F91" s="79" t="s">
        <v>225</v>
      </c>
      <c r="G91" s="80"/>
      <c r="H91" s="18" t="s">
        <v>186</v>
      </c>
      <c r="I91" s="54" t="s">
        <v>344</v>
      </c>
      <c r="J91" s="54" t="s">
        <v>339</v>
      </c>
      <c r="K91" s="18" t="s">
        <v>345</v>
      </c>
      <c r="L91" s="5"/>
      <c r="M91" s="5"/>
      <c r="N91" s="5"/>
      <c r="O91" s="5"/>
    </row>
    <row r="92" spans="1:16" ht="13.5" customHeight="1" x14ac:dyDescent="0.25">
      <c r="A92" s="15" t="s">
        <v>66</v>
      </c>
      <c r="B92" s="62"/>
      <c r="C92" s="18"/>
      <c r="D92" s="31"/>
      <c r="E92" s="46"/>
      <c r="F92" s="79"/>
      <c r="G92" s="80"/>
      <c r="H92" s="15">
        <v>7.04</v>
      </c>
      <c r="I92" s="15"/>
      <c r="J92" s="15"/>
      <c r="K92" s="15"/>
      <c r="L92" s="15"/>
      <c r="M92" s="15"/>
      <c r="N92" s="15"/>
      <c r="O92" s="15"/>
      <c r="P92" s="14"/>
    </row>
    <row r="93" spans="1:16" ht="13.5" customHeight="1" x14ac:dyDescent="0.25">
      <c r="A93" s="15" t="s">
        <v>67</v>
      </c>
      <c r="B93" s="62"/>
      <c r="C93" s="18"/>
      <c r="D93" s="55"/>
      <c r="E93" s="46"/>
      <c r="F93" s="79"/>
      <c r="G93" s="80"/>
      <c r="H93" s="15">
        <v>11.366</v>
      </c>
      <c r="I93" s="15"/>
      <c r="J93" s="15"/>
      <c r="K93" s="15"/>
      <c r="L93" s="15"/>
      <c r="M93" s="15"/>
      <c r="N93" s="15"/>
      <c r="O93" s="15"/>
      <c r="P93" s="14"/>
    </row>
    <row r="94" spans="1:16" ht="13.5" customHeight="1" x14ac:dyDescent="0.25">
      <c r="A94" s="15" t="s">
        <v>116</v>
      </c>
      <c r="B94" s="62" t="s">
        <v>66</v>
      </c>
      <c r="C94" s="54" t="s">
        <v>346</v>
      </c>
      <c r="D94" s="55">
        <v>125</v>
      </c>
      <c r="E94" s="46">
        <v>35</v>
      </c>
      <c r="F94" s="79" t="s">
        <v>261</v>
      </c>
      <c r="G94" s="80"/>
      <c r="H94" s="15">
        <v>5.48</v>
      </c>
      <c r="I94" s="15">
        <v>1.44</v>
      </c>
      <c r="J94" s="15">
        <v>5.75</v>
      </c>
      <c r="K94" s="15">
        <v>1</v>
      </c>
      <c r="L94" s="15"/>
      <c r="M94" s="15"/>
      <c r="N94" s="15"/>
      <c r="O94" s="15"/>
      <c r="P94" s="14"/>
    </row>
    <row r="95" spans="1:16" ht="13.5" customHeight="1" x14ac:dyDescent="0.25">
      <c r="A95" s="15" t="s">
        <v>101</v>
      </c>
      <c r="B95" s="62" t="s">
        <v>67</v>
      </c>
      <c r="C95" s="18"/>
      <c r="D95" s="55">
        <v>112</v>
      </c>
      <c r="E95" s="46">
        <v>100</v>
      </c>
      <c r="F95" s="79" t="s">
        <v>260</v>
      </c>
      <c r="G95" s="80"/>
      <c r="H95" s="15">
        <v>4.34</v>
      </c>
      <c r="I95" s="15">
        <v>2.4300000000000002</v>
      </c>
      <c r="J95" s="15">
        <v>9.6999999999999993</v>
      </c>
      <c r="K95" s="15">
        <v>0.85</v>
      </c>
      <c r="L95" s="15"/>
      <c r="M95" s="15"/>
      <c r="N95" s="15"/>
      <c r="O95" s="15"/>
      <c r="P95" s="14"/>
    </row>
    <row r="96" spans="1:16" ht="13.5" customHeight="1" x14ac:dyDescent="0.25">
      <c r="A96" s="15" t="s">
        <v>184</v>
      </c>
      <c r="B96" s="62" t="s">
        <v>67</v>
      </c>
      <c r="C96" s="18"/>
      <c r="D96" s="55">
        <v>63</v>
      </c>
      <c r="E96" s="46">
        <v>30</v>
      </c>
      <c r="F96" s="79" t="s">
        <v>264</v>
      </c>
      <c r="G96" s="80"/>
      <c r="H96" s="15">
        <v>4.82</v>
      </c>
      <c r="I96" s="15">
        <v>2.17</v>
      </c>
      <c r="J96" s="15">
        <v>8.69</v>
      </c>
      <c r="K96" s="15">
        <v>1</v>
      </c>
      <c r="L96" s="15"/>
      <c r="M96" s="15"/>
      <c r="N96" s="15"/>
      <c r="O96" s="15"/>
      <c r="P96" s="14"/>
    </row>
    <row r="97" spans="1:16" ht="13.5" customHeight="1" x14ac:dyDescent="0.25">
      <c r="A97" s="15" t="s">
        <v>129</v>
      </c>
      <c r="B97" s="62" t="s">
        <v>67</v>
      </c>
      <c r="C97" s="54" t="s">
        <v>346</v>
      </c>
      <c r="D97" s="55">
        <v>125</v>
      </c>
      <c r="E97" s="46">
        <v>50</v>
      </c>
      <c r="F97" s="79" t="s">
        <v>260</v>
      </c>
      <c r="G97" s="80"/>
      <c r="H97" s="15">
        <v>6.97</v>
      </c>
      <c r="I97" s="15">
        <v>1.41</v>
      </c>
      <c r="J97" s="15">
        <v>5.75</v>
      </c>
      <c r="K97" s="15">
        <v>1</v>
      </c>
      <c r="L97" s="15"/>
      <c r="M97" s="15"/>
      <c r="N97" s="15"/>
      <c r="O97" s="15"/>
      <c r="P97" s="14"/>
    </row>
    <row r="98" spans="1:16" ht="13.5" customHeight="1" x14ac:dyDescent="0.25">
      <c r="A98" s="15" t="s">
        <v>185</v>
      </c>
      <c r="B98" s="62" t="s">
        <v>40</v>
      </c>
      <c r="C98" s="18"/>
      <c r="D98" s="55">
        <v>80</v>
      </c>
      <c r="E98" s="46">
        <v>80</v>
      </c>
      <c r="F98" s="79" t="s">
        <v>263</v>
      </c>
      <c r="G98" s="80"/>
      <c r="H98" s="15">
        <v>1.72</v>
      </c>
      <c r="I98" s="15">
        <v>4.5999999999999996</v>
      </c>
      <c r="J98" s="15">
        <v>18.399999999999999</v>
      </c>
      <c r="K98" s="15">
        <v>1</v>
      </c>
      <c r="L98" s="15"/>
      <c r="M98" s="15"/>
      <c r="N98" s="15"/>
      <c r="O98" s="15"/>
      <c r="P98" s="14"/>
    </row>
    <row r="99" spans="1:16" ht="13.5" customHeight="1" x14ac:dyDescent="0.25">
      <c r="A99" s="15" t="s">
        <v>113</v>
      </c>
      <c r="B99" s="62" t="s">
        <v>67</v>
      </c>
      <c r="C99" s="18"/>
      <c r="D99" s="55">
        <v>100</v>
      </c>
      <c r="E99" s="46">
        <v>60</v>
      </c>
      <c r="F99" s="79" t="s">
        <v>262</v>
      </c>
      <c r="G99" s="80"/>
      <c r="H99" s="15">
        <v>3.88</v>
      </c>
      <c r="I99" s="15">
        <v>2.4700000000000002</v>
      </c>
      <c r="J99" s="15">
        <v>9.89</v>
      </c>
      <c r="K99" s="15">
        <v>0.85</v>
      </c>
      <c r="L99" s="15"/>
      <c r="M99" s="15"/>
      <c r="N99" s="15"/>
      <c r="O99" s="15"/>
      <c r="P99" s="14"/>
    </row>
    <row r="100" spans="1:16" ht="13.5" customHeight="1" x14ac:dyDescent="0.25">
      <c r="A100" s="15" t="s">
        <v>137</v>
      </c>
      <c r="B100" s="62" t="s">
        <v>129</v>
      </c>
      <c r="C100" s="54" t="s">
        <v>346</v>
      </c>
      <c r="D100" s="55">
        <v>80</v>
      </c>
      <c r="E100" s="46">
        <v>25</v>
      </c>
      <c r="F100" s="79" t="s">
        <v>227</v>
      </c>
      <c r="G100" s="80"/>
      <c r="H100" s="15">
        <v>4.95</v>
      </c>
      <c r="I100" s="15">
        <v>2.2599999999999998</v>
      </c>
      <c r="J100" s="15">
        <v>3.29</v>
      </c>
      <c r="K100" s="15">
        <v>1</v>
      </c>
      <c r="L100" s="15"/>
      <c r="M100" s="15"/>
      <c r="N100" s="15"/>
      <c r="O100" s="15"/>
      <c r="P100" s="14"/>
    </row>
    <row r="101" spans="1:16" ht="13.5" customHeight="1" x14ac:dyDescent="0.25">
      <c r="A101" s="15" t="s">
        <v>222</v>
      </c>
      <c r="B101" s="62" t="s">
        <v>185</v>
      </c>
      <c r="C101" s="54" t="s">
        <v>346</v>
      </c>
      <c r="D101" s="55"/>
      <c r="E101" s="46"/>
      <c r="F101" s="79"/>
      <c r="G101" s="80"/>
      <c r="H101" s="15"/>
      <c r="I101" s="15"/>
      <c r="J101" s="15"/>
      <c r="K101" s="15"/>
      <c r="L101" s="15"/>
      <c r="M101" s="15"/>
      <c r="N101" s="15"/>
      <c r="O101" s="15"/>
      <c r="P101" s="14"/>
    </row>
    <row r="102" spans="1:16" ht="13.5" customHeight="1" x14ac:dyDescent="0.25">
      <c r="D102" s="56"/>
      <c r="P102" s="14"/>
    </row>
  </sheetData>
  <mergeCells count="12">
    <mergeCell ref="F97:G97"/>
    <mergeCell ref="F98:G98"/>
    <mergeCell ref="F99:G99"/>
    <mergeCell ref="F100:G100"/>
    <mergeCell ref="F101:G101"/>
    <mergeCell ref="F95:G95"/>
    <mergeCell ref="F96:G96"/>
    <mergeCell ref="C82:C84"/>
    <mergeCell ref="F91:G91"/>
    <mergeCell ref="F92:G92"/>
    <mergeCell ref="F93:G93"/>
    <mergeCell ref="F94:G94"/>
  </mergeCells>
  <conditionalFormatting sqref="O1:O55 P89:P1048576 O57:O88">
    <cfRule type="containsBlanks" priority="8" stopIfTrue="1">
      <formula>LEN(TRIM(O1))=0</formula>
    </cfRule>
  </conditionalFormatting>
  <conditionalFormatting sqref="O56">
    <cfRule type="containsBlanks" priority="1" stopIfTrue="1">
      <formula>LEN(TRIM(O56))=0</formula>
    </cfRule>
  </conditionalFormatting>
  <pageMargins left="3.937007874015748E-2" right="3.937007874015748E-2" top="0.74803149606299213" bottom="0.74803149606299213" header="0.31496062992125984" footer="0.31496062992125984"/>
  <pageSetup paperSize="9" orientation="portrait" r:id="rId1"/>
  <headerFooter>
    <oddHeader>&amp;C&amp;A&amp;R&amp;D</oddHeader>
    <oddFooter>&amp;L&amp;Z&amp;F&amp;C
&amp;RPage &amp;P de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0" stopIfTrue="1" operator="lessThanOrEqual" id="{09999533-A70D-49E3-808A-51890B132754}">
            <xm:f>Feuil3!$A$3</xm:f>
            <x14:dxf>
              <fill>
                <patternFill>
                  <bgColor rgb="FFFF0000"/>
                </patternFill>
              </fill>
            </x14:dxf>
          </x14:cfRule>
          <x14:cfRule type="cellIs" priority="11" stopIfTrue="1" operator="lessThanOrEqual" id="{CF082538-D273-4589-9EB7-AB0025845F33}">
            <xm:f>Feuil3!$A$2</xm:f>
            <x14:dxf>
              <fill>
                <patternFill>
                  <bgColor rgb="FFFFFF00"/>
                </patternFill>
              </fill>
            </x14:dxf>
          </x14:cfRule>
          <xm:sqref>O1:O55 P89:P1048576 O57:O88</xm:sqref>
        </x14:conditionalFormatting>
        <x14:conditionalFormatting xmlns:xm="http://schemas.microsoft.com/office/excel/2006/main">
          <x14:cfRule type="cellIs" priority="7" operator="greaterThan" id="{1A87E071-85C4-4BDA-8C11-8E52D4682FD5}">
            <xm:f>Feuil3!$A$2</xm:f>
            <x14:dxf>
              <fill>
                <patternFill>
                  <bgColor rgb="FF00B050"/>
                </patternFill>
              </fill>
            </x14:dxf>
          </x14:cfRule>
          <xm:sqref>O2:O55 P89 O57:O88</xm:sqref>
        </x14:conditionalFormatting>
        <x14:conditionalFormatting xmlns:xm="http://schemas.microsoft.com/office/excel/2006/main">
          <x14:cfRule type="cellIs" priority="2" stopIfTrue="1" operator="lessThanOrEqual" id="{F974748D-6108-44F7-9560-5CE66839FF22}">
            <xm:f>Feuil3!$A$3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lessThanOrEqual" id="{B9D6ED2A-F05E-4EF3-978E-39A386A14C36}">
            <xm:f>Feuil3!$A$2</xm:f>
            <x14:dxf>
              <fill>
                <patternFill>
                  <bgColor rgb="FFFFFF00"/>
                </patternFill>
              </fill>
            </x14:dxf>
          </x14:cfRule>
          <xm:sqref>O56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3"/>
  <sheetViews>
    <sheetView view="pageLayout" zoomScale="85" zoomScaleNormal="100" zoomScalePageLayoutView="85" workbookViewId="0">
      <selection activeCell="E10" sqref="E10"/>
    </sheetView>
  </sheetViews>
  <sheetFormatPr baseColWidth="10" defaultRowHeight="16.5" customHeight="1" x14ac:dyDescent="0.25"/>
  <cols>
    <col min="1" max="1" width="8.7109375" customWidth="1"/>
    <col min="2" max="2" width="6.5703125" customWidth="1"/>
    <col min="3" max="3" width="7" style="36" customWidth="1"/>
    <col min="4" max="4" width="10.28515625" customWidth="1"/>
    <col min="5" max="5" width="12.5703125" style="43" customWidth="1"/>
    <col min="6" max="7" width="12.5703125" style="14" customWidth="1"/>
    <col min="8" max="8" width="10.28515625" style="14" customWidth="1"/>
  </cols>
  <sheetData>
    <row r="1" spans="1:17" s="44" customFormat="1" ht="16.5" customHeight="1" x14ac:dyDescent="0.25">
      <c r="A1" s="4" t="s">
        <v>0</v>
      </c>
      <c r="B1" s="13" t="s">
        <v>114</v>
      </c>
      <c r="C1" s="34"/>
      <c r="D1" s="4" t="s">
        <v>66</v>
      </c>
      <c r="E1" s="42" t="s">
        <v>331</v>
      </c>
      <c r="F1" s="15"/>
      <c r="G1" s="15"/>
      <c r="H1" s="15">
        <v>247</v>
      </c>
      <c r="I1"/>
      <c r="J1"/>
      <c r="K1"/>
      <c r="L1"/>
      <c r="M1"/>
      <c r="N1"/>
      <c r="O1"/>
      <c r="P1"/>
      <c r="Q1"/>
    </row>
    <row r="2" spans="1:17" ht="16.5" customHeight="1" x14ac:dyDescent="0.25">
      <c r="A2" s="13" t="s">
        <v>5</v>
      </c>
      <c r="B2" s="4" t="s">
        <v>117</v>
      </c>
      <c r="C2" s="31"/>
      <c r="D2" s="13" t="s">
        <v>66</v>
      </c>
      <c r="E2" s="42" t="s">
        <v>332</v>
      </c>
      <c r="F2" s="15"/>
      <c r="G2" s="15"/>
      <c r="H2" s="15">
        <v>253</v>
      </c>
    </row>
    <row r="3" spans="1:17" ht="16.5" customHeight="1" x14ac:dyDescent="0.25">
      <c r="A3" s="4" t="s">
        <v>47</v>
      </c>
      <c r="B3" s="4" t="s">
        <v>81</v>
      </c>
      <c r="C3" s="31"/>
      <c r="D3" s="4" t="s">
        <v>67</v>
      </c>
      <c r="E3" s="42" t="s">
        <v>268</v>
      </c>
      <c r="F3" s="15"/>
      <c r="G3" s="15"/>
      <c r="H3" s="15">
        <v>216</v>
      </c>
    </row>
    <row r="4" spans="1:17" ht="16.5" customHeight="1" x14ac:dyDescent="0.25">
      <c r="A4" s="4" t="s">
        <v>58</v>
      </c>
      <c r="B4" s="4" t="s">
        <v>144</v>
      </c>
      <c r="C4" s="31"/>
      <c r="D4" s="4" t="s">
        <v>67</v>
      </c>
      <c r="E4" s="42" t="s">
        <v>270</v>
      </c>
      <c r="F4" s="15"/>
      <c r="G4" s="15"/>
      <c r="H4" s="15">
        <v>213</v>
      </c>
    </row>
    <row r="5" spans="1:17" ht="16.5" customHeight="1" x14ac:dyDescent="0.25">
      <c r="A5" s="4" t="s">
        <v>41</v>
      </c>
      <c r="B5" s="4" t="s">
        <v>82</v>
      </c>
      <c r="C5" s="31">
        <v>4.18</v>
      </c>
      <c r="D5" s="4" t="s">
        <v>67</v>
      </c>
      <c r="E5" s="42" t="s">
        <v>271</v>
      </c>
      <c r="F5" s="15"/>
      <c r="G5" s="15"/>
      <c r="H5" s="15"/>
    </row>
    <row r="6" spans="1:17" ht="16.5" customHeight="1" x14ac:dyDescent="0.25">
      <c r="A6" s="4" t="s">
        <v>42</v>
      </c>
      <c r="B6" s="4" t="s">
        <v>82</v>
      </c>
      <c r="C6" s="31">
        <v>8.5399999999999991</v>
      </c>
      <c r="D6" s="4" t="s">
        <v>67</v>
      </c>
      <c r="E6" s="42" t="s">
        <v>272</v>
      </c>
      <c r="F6" s="15"/>
      <c r="G6" s="15"/>
      <c r="H6" s="15"/>
    </row>
    <row r="7" spans="1:17" ht="16.5" customHeight="1" x14ac:dyDescent="0.25">
      <c r="A7" s="4" t="s">
        <v>45</v>
      </c>
      <c r="B7" s="4" t="s">
        <v>82</v>
      </c>
      <c r="C7" s="31">
        <v>1.1499999999999999</v>
      </c>
      <c r="D7" s="4" t="s">
        <v>67</v>
      </c>
      <c r="E7" s="42" t="s">
        <v>273</v>
      </c>
      <c r="F7" s="15"/>
      <c r="G7" s="15"/>
      <c r="H7" s="15"/>
    </row>
    <row r="8" spans="1:17" ht="16.5" customHeight="1" x14ac:dyDescent="0.25">
      <c r="A8" s="4" t="s">
        <v>40</v>
      </c>
      <c r="B8" s="4" t="s">
        <v>74</v>
      </c>
      <c r="C8" s="31">
        <v>7.8</v>
      </c>
      <c r="D8" s="4" t="s">
        <v>67</v>
      </c>
      <c r="E8" s="42" t="s">
        <v>274</v>
      </c>
      <c r="F8" s="15"/>
      <c r="G8" s="15"/>
      <c r="H8" s="15"/>
    </row>
    <row r="9" spans="1:17" ht="16.5" customHeight="1" x14ac:dyDescent="0.25">
      <c r="A9" s="4" t="s">
        <v>153</v>
      </c>
      <c r="B9" s="4" t="s">
        <v>150</v>
      </c>
      <c r="C9" s="31"/>
      <c r="D9" s="4" t="s">
        <v>67</v>
      </c>
      <c r="E9" s="42" t="s">
        <v>280</v>
      </c>
      <c r="F9" s="15"/>
      <c r="G9" s="15"/>
      <c r="H9" s="15">
        <v>212</v>
      </c>
    </row>
    <row r="10" spans="1:17" ht="16.5" customHeight="1" x14ac:dyDescent="0.25">
      <c r="A10" s="4" t="s">
        <v>62</v>
      </c>
      <c r="B10" s="4" t="s">
        <v>146</v>
      </c>
      <c r="C10" s="31"/>
      <c r="D10" s="4" t="s">
        <v>67</v>
      </c>
      <c r="E10" s="42" t="s">
        <v>281</v>
      </c>
      <c r="F10" s="15"/>
      <c r="G10" s="15"/>
      <c r="H10" s="15">
        <v>209</v>
      </c>
    </row>
    <row r="11" spans="1:17" ht="16.5" customHeight="1" x14ac:dyDescent="0.25">
      <c r="A11" s="4" t="s">
        <v>48</v>
      </c>
      <c r="B11" s="4" t="s">
        <v>151</v>
      </c>
      <c r="C11" s="31"/>
      <c r="D11" s="4" t="s">
        <v>67</v>
      </c>
      <c r="E11" s="42" t="s">
        <v>282</v>
      </c>
      <c r="F11" s="15"/>
      <c r="G11" s="15"/>
      <c r="H11" s="15">
        <v>217</v>
      </c>
    </row>
    <row r="12" spans="1:17" ht="16.5" customHeight="1" x14ac:dyDescent="0.25">
      <c r="A12" s="4" t="s">
        <v>61</v>
      </c>
      <c r="B12" s="4" t="s">
        <v>152</v>
      </c>
      <c r="C12" s="31"/>
      <c r="D12" s="4" t="s">
        <v>67</v>
      </c>
      <c r="E12" s="42" t="s">
        <v>283</v>
      </c>
      <c r="F12" s="15"/>
      <c r="G12" s="15"/>
      <c r="H12" s="15">
        <v>211</v>
      </c>
    </row>
    <row r="13" spans="1:17" ht="16.5" customHeight="1" x14ac:dyDescent="0.25">
      <c r="A13" s="4" t="s">
        <v>49</v>
      </c>
      <c r="B13" s="4" t="s">
        <v>155</v>
      </c>
      <c r="C13" s="31"/>
      <c r="D13" s="4" t="s">
        <v>67</v>
      </c>
      <c r="E13" s="42" t="s">
        <v>284</v>
      </c>
      <c r="F13" s="15"/>
      <c r="G13" s="15"/>
      <c r="H13" s="15">
        <v>200</v>
      </c>
    </row>
    <row r="14" spans="1:17" ht="16.5" customHeight="1" x14ac:dyDescent="0.25">
      <c r="A14" s="4" t="s">
        <v>50</v>
      </c>
      <c r="B14" s="4" t="s">
        <v>147</v>
      </c>
      <c r="C14" s="31"/>
      <c r="D14" s="4" t="s">
        <v>67</v>
      </c>
      <c r="E14" s="42" t="s">
        <v>285</v>
      </c>
      <c r="F14" s="15"/>
      <c r="G14" s="15"/>
      <c r="H14" s="15">
        <v>201</v>
      </c>
    </row>
    <row r="15" spans="1:17" ht="16.5" customHeight="1" x14ac:dyDescent="0.25">
      <c r="A15" s="4" t="s">
        <v>134</v>
      </c>
      <c r="B15" s="4" t="s">
        <v>110</v>
      </c>
      <c r="C15" s="31"/>
      <c r="D15" s="4" t="s">
        <v>67</v>
      </c>
      <c r="E15" s="42" t="s">
        <v>291</v>
      </c>
      <c r="F15" s="15"/>
      <c r="G15" s="15"/>
      <c r="H15" s="15">
        <v>290</v>
      </c>
    </row>
    <row r="16" spans="1:17" ht="16.5" customHeight="1" x14ac:dyDescent="0.25">
      <c r="A16" s="4" t="s">
        <v>51</v>
      </c>
      <c r="B16" s="4" t="s">
        <v>84</v>
      </c>
      <c r="C16" s="31"/>
      <c r="D16" s="4" t="s">
        <v>67</v>
      </c>
      <c r="E16" s="42" t="s">
        <v>306</v>
      </c>
      <c r="F16" s="15"/>
      <c r="G16" s="15"/>
      <c r="H16" s="15">
        <v>202</v>
      </c>
    </row>
    <row r="17" spans="1:8" ht="16.5" customHeight="1" x14ac:dyDescent="0.25">
      <c r="A17" s="4" t="s">
        <v>60</v>
      </c>
      <c r="B17" s="4" t="s">
        <v>166</v>
      </c>
      <c r="C17" s="31"/>
      <c r="D17" s="4" t="s">
        <v>67</v>
      </c>
      <c r="E17" s="42" t="s">
        <v>307</v>
      </c>
      <c r="F17" s="15"/>
      <c r="G17" s="15"/>
      <c r="H17" s="15">
        <v>210</v>
      </c>
    </row>
    <row r="18" spans="1:8" ht="16.5" customHeight="1" x14ac:dyDescent="0.25">
      <c r="A18" s="4" t="s">
        <v>195</v>
      </c>
      <c r="B18" s="4" t="s">
        <v>121</v>
      </c>
      <c r="C18" s="31">
        <v>1.78</v>
      </c>
      <c r="D18" s="4" t="s">
        <v>116</v>
      </c>
      <c r="E18" s="42" t="s">
        <v>322</v>
      </c>
      <c r="F18" s="15">
        <v>45</v>
      </c>
      <c r="G18" s="15" t="s">
        <v>264</v>
      </c>
      <c r="H18" s="15">
        <v>249</v>
      </c>
    </row>
    <row r="19" spans="1:8" ht="16.5" customHeight="1" x14ac:dyDescent="0.25">
      <c r="A19" s="4" t="s">
        <v>176</v>
      </c>
      <c r="B19" s="4" t="s">
        <v>175</v>
      </c>
      <c r="C19" s="31">
        <v>1.42</v>
      </c>
      <c r="D19" s="4" t="s">
        <v>116</v>
      </c>
      <c r="E19" s="42" t="s">
        <v>321</v>
      </c>
      <c r="F19" s="15">
        <v>65</v>
      </c>
      <c r="G19" s="15" t="s">
        <v>264</v>
      </c>
      <c r="H19" s="15">
        <v>248</v>
      </c>
    </row>
    <row r="20" spans="1:8" ht="16.5" customHeight="1" x14ac:dyDescent="0.25">
      <c r="A20" s="4" t="s">
        <v>266</v>
      </c>
      <c r="B20" s="70" t="s">
        <v>119</v>
      </c>
      <c r="C20" s="31"/>
      <c r="D20" s="4" t="s">
        <v>133</v>
      </c>
      <c r="E20" s="42" t="s">
        <v>316</v>
      </c>
      <c r="F20" s="15">
        <v>70</v>
      </c>
      <c r="G20" s="15" t="s">
        <v>315</v>
      </c>
      <c r="H20" s="15">
        <v>295</v>
      </c>
    </row>
    <row r="21" spans="1:8" ht="16.5" customHeight="1" x14ac:dyDescent="0.25">
      <c r="A21" s="4" t="s">
        <v>13</v>
      </c>
      <c r="B21" s="4" t="s">
        <v>124</v>
      </c>
      <c r="C21" s="31">
        <v>1.25</v>
      </c>
      <c r="D21" s="4" t="s">
        <v>116</v>
      </c>
      <c r="E21" s="42" t="s">
        <v>317</v>
      </c>
      <c r="F21" s="15">
        <v>70</v>
      </c>
      <c r="G21" s="15" t="s">
        <v>264</v>
      </c>
      <c r="H21" s="15">
        <v>239</v>
      </c>
    </row>
    <row r="22" spans="1:8" ht="16.5" customHeight="1" x14ac:dyDescent="0.25">
      <c r="A22" s="4" t="s">
        <v>14</v>
      </c>
      <c r="B22" s="4" t="s">
        <v>125</v>
      </c>
      <c r="C22" s="31">
        <v>1.1200000000000001</v>
      </c>
      <c r="D22" s="4" t="s">
        <v>116</v>
      </c>
      <c r="E22" s="42" t="s">
        <v>318</v>
      </c>
      <c r="F22" s="15">
        <v>80</v>
      </c>
      <c r="G22" s="15" t="s">
        <v>264</v>
      </c>
      <c r="H22" s="15">
        <v>238</v>
      </c>
    </row>
    <row r="23" spans="1:8" ht="16.5" customHeight="1" x14ac:dyDescent="0.25">
      <c r="A23" s="4" t="s">
        <v>12</v>
      </c>
      <c r="B23" s="4" t="s">
        <v>126</v>
      </c>
      <c r="C23" s="31">
        <v>1.64</v>
      </c>
      <c r="D23" s="4" t="s">
        <v>116</v>
      </c>
      <c r="E23" s="42" t="s">
        <v>319</v>
      </c>
      <c r="F23" s="15">
        <v>50</v>
      </c>
      <c r="G23" s="15" t="s">
        <v>264</v>
      </c>
      <c r="H23" s="15">
        <v>237</v>
      </c>
    </row>
    <row r="24" spans="1:8" ht="16.5" customHeight="1" x14ac:dyDescent="0.25">
      <c r="A24" s="4" t="s">
        <v>11</v>
      </c>
      <c r="B24" s="4" t="s">
        <v>174</v>
      </c>
      <c r="C24" s="31">
        <v>2.36</v>
      </c>
      <c r="D24" s="4" t="s">
        <v>116</v>
      </c>
      <c r="E24" s="42" t="s">
        <v>320</v>
      </c>
      <c r="F24" s="15">
        <v>30</v>
      </c>
      <c r="G24" s="15" t="s">
        <v>264</v>
      </c>
      <c r="H24" s="15">
        <v>242</v>
      </c>
    </row>
    <row r="25" spans="1:8" ht="16.5" customHeight="1" x14ac:dyDescent="0.25">
      <c r="A25" s="4" t="s">
        <v>2</v>
      </c>
      <c r="B25" s="4" t="s">
        <v>118</v>
      </c>
      <c r="C25" s="31"/>
      <c r="D25" s="4" t="s">
        <v>116</v>
      </c>
      <c r="E25" s="42" t="s">
        <v>323</v>
      </c>
      <c r="F25" s="15"/>
      <c r="G25" s="15"/>
      <c r="H25" s="15">
        <v>250</v>
      </c>
    </row>
    <row r="26" spans="1:8" ht="16.5" customHeight="1" x14ac:dyDescent="0.25">
      <c r="A26" s="4" t="s">
        <v>6</v>
      </c>
      <c r="B26" s="4" t="s">
        <v>127</v>
      </c>
      <c r="C26" s="31"/>
      <c r="D26" s="4" t="s">
        <v>116</v>
      </c>
      <c r="E26" s="42" t="s">
        <v>324</v>
      </c>
      <c r="F26" s="15"/>
      <c r="G26" s="15"/>
      <c r="H26" s="15">
        <v>252</v>
      </c>
    </row>
    <row r="27" spans="1:8" ht="16.5" customHeight="1" x14ac:dyDescent="0.25">
      <c r="A27" s="4" t="s">
        <v>201</v>
      </c>
      <c r="B27" s="4" t="s">
        <v>123</v>
      </c>
      <c r="C27" s="31"/>
      <c r="D27" s="4" t="s">
        <v>116</v>
      </c>
      <c r="E27" s="42" t="s">
        <v>325</v>
      </c>
      <c r="F27" s="15"/>
      <c r="G27" s="15"/>
      <c r="H27" s="15"/>
    </row>
    <row r="28" spans="1:8" ht="16.5" customHeight="1" x14ac:dyDescent="0.25">
      <c r="A28" s="4" t="s">
        <v>7</v>
      </c>
      <c r="B28" s="4" t="s">
        <v>122</v>
      </c>
      <c r="C28" s="31"/>
      <c r="D28" s="4" t="s">
        <v>116</v>
      </c>
      <c r="E28" s="42" t="s">
        <v>326</v>
      </c>
      <c r="F28" s="15"/>
      <c r="G28" s="15"/>
      <c r="H28" s="15">
        <v>251</v>
      </c>
    </row>
    <row r="29" spans="1:8" ht="16.5" customHeight="1" x14ac:dyDescent="0.25">
      <c r="A29" s="4" t="s">
        <v>177</v>
      </c>
      <c r="B29" s="4" t="s">
        <v>120</v>
      </c>
      <c r="C29" s="31"/>
      <c r="D29" s="4" t="s">
        <v>116</v>
      </c>
      <c r="E29" s="42" t="s">
        <v>327</v>
      </c>
      <c r="F29" s="15"/>
      <c r="G29" s="15"/>
      <c r="H29" s="15">
        <v>254</v>
      </c>
    </row>
    <row r="30" spans="1:8" ht="16.5" customHeight="1" x14ac:dyDescent="0.25">
      <c r="A30" s="4" t="s">
        <v>133</v>
      </c>
      <c r="B30" s="70" t="s">
        <v>119</v>
      </c>
      <c r="C30" s="31"/>
      <c r="D30" s="4" t="s">
        <v>116</v>
      </c>
      <c r="E30" s="42" t="s">
        <v>328</v>
      </c>
      <c r="F30" s="15"/>
      <c r="G30" s="15"/>
      <c r="H30" s="15">
        <v>294</v>
      </c>
    </row>
    <row r="31" spans="1:8" ht="16.5" customHeight="1" x14ac:dyDescent="0.25">
      <c r="A31" s="4" t="s">
        <v>267</v>
      </c>
      <c r="B31" s="70" t="s">
        <v>119</v>
      </c>
      <c r="C31" s="31"/>
      <c r="D31" s="4" t="s">
        <v>116</v>
      </c>
      <c r="E31" s="42" t="s">
        <v>330</v>
      </c>
      <c r="F31" s="15"/>
      <c r="G31" s="15"/>
      <c r="H31" s="15">
        <v>296</v>
      </c>
    </row>
    <row r="32" spans="1:8" ht="16.5" customHeight="1" x14ac:dyDescent="0.25">
      <c r="A32" s="4" t="s">
        <v>1</v>
      </c>
      <c r="B32" s="4" t="s">
        <v>115</v>
      </c>
      <c r="C32" s="31"/>
      <c r="D32" s="4" t="s">
        <v>116</v>
      </c>
      <c r="E32" s="42" t="s">
        <v>329</v>
      </c>
      <c r="F32" s="15"/>
      <c r="G32" s="15"/>
      <c r="H32" s="15">
        <v>245</v>
      </c>
    </row>
    <row r="33" spans="1:8" ht="16.5" customHeight="1" x14ac:dyDescent="0.25">
      <c r="A33" s="4" t="s">
        <v>10</v>
      </c>
      <c r="B33" s="4"/>
      <c r="C33" s="31"/>
      <c r="D33" s="4" t="s">
        <v>265</v>
      </c>
      <c r="E33" s="42" t="s">
        <v>334</v>
      </c>
      <c r="F33" s="15"/>
      <c r="G33" s="15"/>
      <c r="H33" s="15">
        <v>243</v>
      </c>
    </row>
    <row r="34" spans="1:8" ht="16.5" customHeight="1" x14ac:dyDescent="0.25">
      <c r="A34" s="4" t="s">
        <v>53</v>
      </c>
      <c r="B34" s="4" t="s">
        <v>191</v>
      </c>
      <c r="C34" s="31"/>
      <c r="D34" s="4" t="s">
        <v>101</v>
      </c>
      <c r="E34" s="42" t="s">
        <v>308</v>
      </c>
      <c r="F34" s="15"/>
      <c r="G34" s="15"/>
      <c r="H34" s="15">
        <v>205</v>
      </c>
    </row>
    <row r="35" spans="1:8" ht="16.5" customHeight="1" x14ac:dyDescent="0.25">
      <c r="A35" s="4" t="s">
        <v>54</v>
      </c>
      <c r="B35" s="4" t="s">
        <v>192</v>
      </c>
      <c r="C35" s="31"/>
      <c r="D35" s="4" t="s">
        <v>101</v>
      </c>
      <c r="E35" s="42" t="s">
        <v>309</v>
      </c>
      <c r="F35" s="15"/>
      <c r="G35" s="15"/>
      <c r="H35" s="15">
        <v>206</v>
      </c>
    </row>
    <row r="36" spans="1:8" ht="16.5" customHeight="1" x14ac:dyDescent="0.25">
      <c r="A36" s="4" t="s">
        <v>55</v>
      </c>
      <c r="B36" s="4" t="s">
        <v>193</v>
      </c>
      <c r="C36" s="31"/>
      <c r="D36" s="4" t="s">
        <v>101</v>
      </c>
      <c r="E36" s="42" t="s">
        <v>310</v>
      </c>
      <c r="F36" s="15"/>
      <c r="G36" s="15"/>
      <c r="H36" s="15">
        <v>207</v>
      </c>
    </row>
    <row r="37" spans="1:8" ht="16.5" customHeight="1" x14ac:dyDescent="0.25">
      <c r="A37" s="4" t="s">
        <v>168</v>
      </c>
      <c r="B37" s="4" t="s">
        <v>194</v>
      </c>
      <c r="C37" s="31"/>
      <c r="D37" s="4" t="s">
        <v>101</v>
      </c>
      <c r="E37" s="42" t="s">
        <v>311</v>
      </c>
      <c r="F37" s="15"/>
      <c r="G37" s="15"/>
      <c r="H37" s="15"/>
    </row>
    <row r="38" spans="1:8" ht="16.5" customHeight="1" x14ac:dyDescent="0.25">
      <c r="A38" s="4" t="s">
        <v>52</v>
      </c>
      <c r="B38" s="4" t="s">
        <v>350</v>
      </c>
      <c r="C38" s="31"/>
      <c r="D38" s="4" t="s">
        <v>67</v>
      </c>
      <c r="E38" s="42" t="s">
        <v>367</v>
      </c>
      <c r="F38" s="15"/>
      <c r="G38" s="15"/>
      <c r="H38" s="15">
        <v>203</v>
      </c>
    </row>
    <row r="39" spans="1:8" ht="16.5" customHeight="1" x14ac:dyDescent="0.25">
      <c r="A39" s="4" t="s">
        <v>36</v>
      </c>
      <c r="B39" s="4" t="s">
        <v>106</v>
      </c>
      <c r="C39" s="31"/>
      <c r="D39" s="4" t="s">
        <v>184</v>
      </c>
      <c r="E39" s="42">
        <v>2201</v>
      </c>
      <c r="F39" s="15"/>
      <c r="G39" s="15"/>
      <c r="H39" s="15"/>
    </row>
    <row r="40" spans="1:8" ht="16.5" customHeight="1" x14ac:dyDescent="0.25">
      <c r="A40" s="4" t="s">
        <v>30</v>
      </c>
      <c r="B40" s="4" t="s">
        <v>107</v>
      </c>
      <c r="C40" s="31"/>
      <c r="D40" s="4" t="s">
        <v>184</v>
      </c>
      <c r="E40" s="42">
        <v>2202</v>
      </c>
      <c r="F40" s="15"/>
      <c r="G40" s="15"/>
      <c r="H40" s="15">
        <v>222</v>
      </c>
    </row>
    <row r="41" spans="1:8" ht="16.5" customHeight="1" x14ac:dyDescent="0.25">
      <c r="A41" s="4" t="s">
        <v>29</v>
      </c>
      <c r="B41" s="4" t="s">
        <v>149</v>
      </c>
      <c r="C41" s="31"/>
      <c r="D41" s="4" t="s">
        <v>184</v>
      </c>
      <c r="E41" s="42">
        <v>2203</v>
      </c>
      <c r="F41" s="15"/>
      <c r="G41" s="15"/>
      <c r="H41" s="15">
        <v>221</v>
      </c>
    </row>
    <row r="42" spans="1:8" ht="16.5" customHeight="1" x14ac:dyDescent="0.25">
      <c r="A42" s="4" t="s">
        <v>38</v>
      </c>
      <c r="B42" s="4" t="s">
        <v>108</v>
      </c>
      <c r="C42" s="31"/>
      <c r="D42" s="4" t="s">
        <v>184</v>
      </c>
      <c r="E42" s="42">
        <v>2204</v>
      </c>
      <c r="F42" s="15"/>
      <c r="G42" s="15"/>
      <c r="H42" s="15"/>
    </row>
    <row r="43" spans="1:8" ht="16.5" customHeight="1" x14ac:dyDescent="0.25">
      <c r="A43" s="4" t="s">
        <v>25</v>
      </c>
      <c r="B43" s="4" t="s">
        <v>102</v>
      </c>
      <c r="C43" s="31"/>
      <c r="D43" s="4" t="s">
        <v>184</v>
      </c>
      <c r="E43" s="42" t="s">
        <v>286</v>
      </c>
      <c r="F43" s="15"/>
      <c r="G43" s="15"/>
      <c r="H43" s="15">
        <v>224</v>
      </c>
    </row>
    <row r="44" spans="1:8" ht="16.5" customHeight="1" x14ac:dyDescent="0.25">
      <c r="A44" s="4" t="s">
        <v>26</v>
      </c>
      <c r="B44" s="4" t="s">
        <v>103</v>
      </c>
      <c r="C44" s="31"/>
      <c r="D44" s="4" t="s">
        <v>184</v>
      </c>
      <c r="E44" s="42" t="s">
        <v>288</v>
      </c>
      <c r="F44" s="15"/>
      <c r="G44" s="15"/>
      <c r="H44" s="15">
        <v>218</v>
      </c>
    </row>
    <row r="45" spans="1:8" ht="16.5" customHeight="1" x14ac:dyDescent="0.25">
      <c r="A45" s="4" t="s">
        <v>28</v>
      </c>
      <c r="B45" s="4" t="s">
        <v>89</v>
      </c>
      <c r="C45" s="31"/>
      <c r="D45" s="4" t="s">
        <v>184</v>
      </c>
      <c r="E45" s="42" t="s">
        <v>289</v>
      </c>
      <c r="F45" s="15"/>
      <c r="G45" s="15"/>
      <c r="H45" s="15">
        <v>220</v>
      </c>
    </row>
    <row r="46" spans="1:8" ht="16.5" customHeight="1" x14ac:dyDescent="0.25">
      <c r="A46" s="4" t="s">
        <v>27</v>
      </c>
      <c r="B46" s="30" t="s">
        <v>105</v>
      </c>
      <c r="C46" s="31"/>
      <c r="D46" s="4" t="s">
        <v>184</v>
      </c>
      <c r="E46" s="42" t="s">
        <v>290</v>
      </c>
      <c r="F46" s="15"/>
      <c r="G46" s="15"/>
      <c r="H46" s="15">
        <v>219</v>
      </c>
    </row>
    <row r="47" spans="1:8" ht="16.5" customHeight="1" x14ac:dyDescent="0.25">
      <c r="A47" s="4" t="s">
        <v>35</v>
      </c>
      <c r="B47" s="4" t="s">
        <v>88</v>
      </c>
      <c r="C47" s="31"/>
      <c r="D47" s="4" t="s">
        <v>184</v>
      </c>
      <c r="E47" s="42" t="s">
        <v>312</v>
      </c>
      <c r="F47" s="15"/>
      <c r="G47" s="15"/>
      <c r="H47" s="15">
        <v>230</v>
      </c>
    </row>
    <row r="48" spans="1:8" ht="16.5" customHeight="1" x14ac:dyDescent="0.25">
      <c r="A48" s="4" t="s">
        <v>169</v>
      </c>
      <c r="B48" s="4" t="s">
        <v>97</v>
      </c>
      <c r="C48" s="31"/>
      <c r="D48" s="4" t="s">
        <v>184</v>
      </c>
      <c r="E48" s="42" t="s">
        <v>313</v>
      </c>
      <c r="F48" s="15"/>
      <c r="G48" s="15"/>
      <c r="H48" s="15">
        <v>231</v>
      </c>
    </row>
    <row r="49" spans="1:8" ht="16.5" customHeight="1" x14ac:dyDescent="0.25">
      <c r="A49" s="4" t="s">
        <v>37</v>
      </c>
      <c r="B49" s="4" t="s">
        <v>96</v>
      </c>
      <c r="C49" s="31"/>
      <c r="D49" s="4" t="s">
        <v>184</v>
      </c>
      <c r="E49" s="42" t="s">
        <v>314</v>
      </c>
      <c r="F49" s="15"/>
      <c r="G49" s="15"/>
      <c r="H49" s="15">
        <v>232</v>
      </c>
    </row>
    <row r="50" spans="1:8" ht="16.5" customHeight="1" x14ac:dyDescent="0.25">
      <c r="A50" s="4" t="s">
        <v>19</v>
      </c>
      <c r="B50" s="4" t="s">
        <v>130</v>
      </c>
      <c r="C50" s="31"/>
      <c r="D50" s="4" t="s">
        <v>129</v>
      </c>
      <c r="E50" s="42" t="s">
        <v>294</v>
      </c>
      <c r="F50" s="15"/>
      <c r="G50" s="15"/>
      <c r="H50" s="15">
        <v>244</v>
      </c>
    </row>
    <row r="51" spans="1:8" ht="16.5" customHeight="1" x14ac:dyDescent="0.25">
      <c r="A51" s="4" t="s">
        <v>21</v>
      </c>
      <c r="B51" s="4" t="s">
        <v>131</v>
      </c>
      <c r="C51" s="31"/>
      <c r="D51" s="4" t="s">
        <v>129</v>
      </c>
      <c r="E51" s="42" t="s">
        <v>295</v>
      </c>
      <c r="F51" s="15"/>
      <c r="G51" s="15"/>
      <c r="H51" s="15">
        <v>240</v>
      </c>
    </row>
    <row r="52" spans="1:8" ht="16.5" customHeight="1" x14ac:dyDescent="0.25">
      <c r="A52" s="4" t="s">
        <v>22</v>
      </c>
      <c r="B52" s="4" t="s">
        <v>132</v>
      </c>
      <c r="C52" s="31"/>
      <c r="D52" s="4" t="s">
        <v>129</v>
      </c>
      <c r="E52" s="42" t="s">
        <v>296</v>
      </c>
      <c r="F52" s="15"/>
      <c r="G52" s="15"/>
      <c r="H52" s="15">
        <v>248</v>
      </c>
    </row>
    <row r="53" spans="1:8" ht="16.5" customHeight="1" x14ac:dyDescent="0.25">
      <c r="A53" s="4" t="s">
        <v>160</v>
      </c>
      <c r="B53" s="4" t="s">
        <v>135</v>
      </c>
      <c r="C53" s="31"/>
      <c r="D53" s="4" t="s">
        <v>129</v>
      </c>
      <c r="E53" s="42" t="s">
        <v>297</v>
      </c>
      <c r="F53" s="15"/>
      <c r="G53" s="15"/>
      <c r="H53" s="15">
        <v>246</v>
      </c>
    </row>
    <row r="54" spans="1:8" ht="16.5" customHeight="1" x14ac:dyDescent="0.25">
      <c r="A54" s="4" t="s">
        <v>141</v>
      </c>
      <c r="B54" s="4" t="s">
        <v>157</v>
      </c>
      <c r="C54" s="31"/>
      <c r="D54" s="4" t="s">
        <v>129</v>
      </c>
      <c r="E54" s="42" t="s">
        <v>298</v>
      </c>
      <c r="F54" s="15"/>
      <c r="G54" s="15"/>
      <c r="H54" s="15">
        <v>292</v>
      </c>
    </row>
    <row r="55" spans="1:8" ht="16.5" customHeight="1" x14ac:dyDescent="0.25">
      <c r="A55" s="4" t="s">
        <v>44</v>
      </c>
      <c r="B55" s="4" t="s">
        <v>170</v>
      </c>
      <c r="C55" s="31">
        <v>1.72</v>
      </c>
      <c r="D55" s="4" t="s">
        <v>185</v>
      </c>
      <c r="E55" s="42" t="s">
        <v>275</v>
      </c>
      <c r="F55" s="15"/>
      <c r="G55" s="15"/>
      <c r="H55" s="15"/>
    </row>
    <row r="56" spans="1:8" ht="16.5" customHeight="1" x14ac:dyDescent="0.25">
      <c r="A56" s="4" t="s">
        <v>43</v>
      </c>
      <c r="B56" s="4" t="s">
        <v>145</v>
      </c>
      <c r="C56" s="31">
        <v>1.72</v>
      </c>
      <c r="D56" s="4" t="s">
        <v>185</v>
      </c>
      <c r="E56" s="42" t="s">
        <v>277</v>
      </c>
      <c r="F56" s="15"/>
      <c r="G56" s="15"/>
      <c r="H56" s="15"/>
    </row>
    <row r="57" spans="1:8" ht="16.5" customHeight="1" x14ac:dyDescent="0.25">
      <c r="A57" s="4" t="s">
        <v>46</v>
      </c>
      <c r="B57" s="4" t="s">
        <v>171</v>
      </c>
      <c r="C57" s="31">
        <v>1.72</v>
      </c>
      <c r="D57" s="4" t="s">
        <v>185</v>
      </c>
      <c r="E57" s="42" t="s">
        <v>278</v>
      </c>
      <c r="F57" s="15"/>
      <c r="G57" s="15"/>
      <c r="H57" s="15"/>
    </row>
    <row r="58" spans="1:8" ht="16.5" customHeight="1" x14ac:dyDescent="0.25">
      <c r="A58" s="4" t="s">
        <v>56</v>
      </c>
      <c r="B58" s="4" t="s">
        <v>111</v>
      </c>
      <c r="C58" s="31"/>
      <c r="D58" s="4" t="s">
        <v>113</v>
      </c>
      <c r="E58" s="42" t="s">
        <v>292</v>
      </c>
      <c r="F58" s="15"/>
      <c r="G58" s="15"/>
      <c r="H58" s="15">
        <v>214</v>
      </c>
    </row>
    <row r="59" spans="1:8" ht="16.5" customHeight="1" x14ac:dyDescent="0.25">
      <c r="A59" s="4" t="s">
        <v>57</v>
      </c>
      <c r="B59" s="4" t="s">
        <v>112</v>
      </c>
      <c r="C59" s="31"/>
      <c r="D59" s="4" t="s">
        <v>113</v>
      </c>
      <c r="E59" s="42" t="s">
        <v>293</v>
      </c>
      <c r="F59" s="15"/>
      <c r="G59" s="15"/>
      <c r="H59" s="15">
        <v>215</v>
      </c>
    </row>
    <row r="60" spans="1:8" ht="16.5" customHeight="1" x14ac:dyDescent="0.25">
      <c r="A60" s="4" t="s">
        <v>39</v>
      </c>
      <c r="B60" s="4" t="s">
        <v>136</v>
      </c>
      <c r="C60" s="31"/>
      <c r="D60" s="4" t="s">
        <v>137</v>
      </c>
      <c r="E60" s="42" t="s">
        <v>299</v>
      </c>
      <c r="F60" s="15"/>
      <c r="G60" s="15"/>
      <c r="H60" s="15">
        <v>229</v>
      </c>
    </row>
    <row r="61" spans="1:8" ht="16.5" customHeight="1" x14ac:dyDescent="0.25">
      <c r="A61" s="4" t="s">
        <v>138</v>
      </c>
      <c r="B61" s="4" t="s">
        <v>139</v>
      </c>
      <c r="C61" s="31"/>
      <c r="D61" s="4" t="s">
        <v>137</v>
      </c>
      <c r="E61" s="42" t="s">
        <v>300</v>
      </c>
      <c r="F61" s="15"/>
      <c r="G61" s="15"/>
      <c r="H61" s="15">
        <v>293</v>
      </c>
    </row>
    <row r="62" spans="1:8" ht="16.5" customHeight="1" x14ac:dyDescent="0.25">
      <c r="A62" s="4" t="s">
        <v>17</v>
      </c>
      <c r="B62" s="4" t="s">
        <v>158</v>
      </c>
      <c r="C62" s="31">
        <v>2.1</v>
      </c>
      <c r="D62" s="4" t="s">
        <v>137</v>
      </c>
      <c r="E62" s="42" t="s">
        <v>301</v>
      </c>
      <c r="F62" s="15">
        <v>30</v>
      </c>
      <c r="G62" s="15" t="s">
        <v>264</v>
      </c>
      <c r="H62" s="15">
        <v>234</v>
      </c>
    </row>
    <row r="63" spans="1:8" ht="16.5" customHeight="1" x14ac:dyDescent="0.25">
      <c r="A63" s="4" t="s">
        <v>142</v>
      </c>
      <c r="B63" s="4" t="s">
        <v>143</v>
      </c>
      <c r="C63" s="31"/>
      <c r="D63" s="4" t="s">
        <v>137</v>
      </c>
      <c r="E63" s="42" t="s">
        <v>302</v>
      </c>
      <c r="F63" s="15"/>
      <c r="G63" s="15"/>
      <c r="H63" s="15">
        <v>227</v>
      </c>
    </row>
    <row r="64" spans="1:8" ht="16.5" customHeight="1" x14ac:dyDescent="0.25">
      <c r="A64" s="4" t="s">
        <v>20</v>
      </c>
      <c r="B64" s="4" t="s">
        <v>159</v>
      </c>
      <c r="C64" s="31">
        <v>2.1</v>
      </c>
      <c r="D64" s="4" t="s">
        <v>137</v>
      </c>
      <c r="E64" s="42" t="s">
        <v>303</v>
      </c>
      <c r="F64" s="15">
        <v>30</v>
      </c>
      <c r="G64" s="15" t="s">
        <v>264</v>
      </c>
      <c r="H64" s="15">
        <v>241</v>
      </c>
    </row>
    <row r="65" spans="1:8" ht="16.5" customHeight="1" x14ac:dyDescent="0.25">
      <c r="A65" s="4" t="s">
        <v>16</v>
      </c>
      <c r="B65" s="4" t="s">
        <v>197</v>
      </c>
      <c r="C65" s="31">
        <v>1.5</v>
      </c>
      <c r="D65" s="4" t="s">
        <v>137</v>
      </c>
      <c r="E65" s="42" t="s">
        <v>304</v>
      </c>
      <c r="F65" s="15">
        <v>50</v>
      </c>
      <c r="G65" s="15" t="s">
        <v>264</v>
      </c>
      <c r="H65" s="15">
        <v>236</v>
      </c>
    </row>
    <row r="66" spans="1:8" ht="16.5" customHeight="1" x14ac:dyDescent="0.25">
      <c r="A66" s="4" t="s">
        <v>15</v>
      </c>
      <c r="B66" s="4" t="s">
        <v>198</v>
      </c>
      <c r="C66" s="31">
        <v>2.1</v>
      </c>
      <c r="D66" s="4" t="s">
        <v>137</v>
      </c>
      <c r="E66" s="42" t="s">
        <v>305</v>
      </c>
      <c r="F66" s="15">
        <v>30</v>
      </c>
      <c r="G66" s="15" t="s">
        <v>264</v>
      </c>
      <c r="H66" s="15">
        <v>235</v>
      </c>
    </row>
    <row r="67" spans="1:8" ht="16.5" customHeight="1" x14ac:dyDescent="0.25">
      <c r="A67" s="4" t="s">
        <v>335</v>
      </c>
      <c r="B67" s="4" t="s">
        <v>219</v>
      </c>
      <c r="C67" s="31">
        <v>1.72</v>
      </c>
      <c r="D67" s="4" t="s">
        <v>222</v>
      </c>
      <c r="E67" s="42" t="s">
        <v>276</v>
      </c>
      <c r="F67" s="15"/>
      <c r="G67" s="15"/>
      <c r="H67" s="15">
        <v>297</v>
      </c>
    </row>
    <row r="68" spans="1:8" ht="16.5" customHeight="1" x14ac:dyDescent="0.25">
      <c r="A68" s="4" t="s">
        <v>218</v>
      </c>
      <c r="B68" s="71" t="s">
        <v>220</v>
      </c>
      <c r="C68" s="31">
        <v>1.72</v>
      </c>
      <c r="D68" s="4" t="s">
        <v>222</v>
      </c>
      <c r="E68" s="42" t="s">
        <v>279</v>
      </c>
      <c r="F68" s="15"/>
      <c r="G68" s="15"/>
      <c r="H68" s="15"/>
    </row>
    <row r="69" spans="1:8" ht="16.5" customHeight="1" x14ac:dyDescent="0.25">
      <c r="A69" s="4" t="s">
        <v>33</v>
      </c>
      <c r="B69" s="71" t="s">
        <v>148</v>
      </c>
      <c r="C69" s="31"/>
      <c r="D69" s="4" t="s">
        <v>32</v>
      </c>
      <c r="E69" s="42" t="s">
        <v>269</v>
      </c>
      <c r="F69" s="15"/>
      <c r="G69" s="15"/>
      <c r="H69" s="15"/>
    </row>
    <row r="70" spans="1:8" ht="16.5" customHeight="1" x14ac:dyDescent="0.25">
      <c r="A70" s="4" t="s">
        <v>24</v>
      </c>
      <c r="B70" s="71" t="s">
        <v>156</v>
      </c>
      <c r="C70" s="31"/>
      <c r="D70" s="4" t="s">
        <v>25</v>
      </c>
      <c r="E70" s="42" t="s">
        <v>287</v>
      </c>
      <c r="F70" s="15"/>
      <c r="G70" s="15"/>
      <c r="H70" s="15">
        <v>225</v>
      </c>
    </row>
    <row r="71" spans="1:8" ht="16.5" customHeight="1" x14ac:dyDescent="0.25">
      <c r="A71" s="4" t="s">
        <v>165</v>
      </c>
      <c r="B71" s="4" t="s">
        <v>163</v>
      </c>
      <c r="C71" s="31"/>
      <c r="D71" s="4" t="s">
        <v>138</v>
      </c>
      <c r="E71" s="42" t="s">
        <v>336</v>
      </c>
      <c r="F71" s="15"/>
      <c r="G71" s="15"/>
      <c r="H71" s="15"/>
    </row>
    <row r="72" spans="1:8" ht="16.5" customHeight="1" x14ac:dyDescent="0.25">
      <c r="A72" s="4" t="s">
        <v>164</v>
      </c>
      <c r="B72" s="4" t="s">
        <v>162</v>
      </c>
      <c r="C72" s="31"/>
      <c r="D72" s="4" t="s">
        <v>138</v>
      </c>
      <c r="E72" s="42" t="s">
        <v>337</v>
      </c>
      <c r="F72" s="15"/>
      <c r="G72" s="15"/>
      <c r="H72" s="15"/>
    </row>
    <row r="73" spans="1:8" ht="16.5" customHeight="1" x14ac:dyDescent="0.25">
      <c r="A73" s="4" t="s">
        <v>63</v>
      </c>
      <c r="B73" s="4"/>
      <c r="C73" s="31"/>
      <c r="D73" s="4"/>
      <c r="E73" s="42"/>
      <c r="F73" s="15"/>
      <c r="G73" s="15"/>
      <c r="H73" s="15">
        <v>208</v>
      </c>
    </row>
  </sheetData>
  <sortState ref="A1:Q73">
    <sortCondition ref="E1:E73"/>
  </sortState>
  <pageMargins left="0.25" right="0.25" top="0.58333333333333337" bottom="0.59375" header="0.3" footer="0.3"/>
  <pageSetup paperSize="9" orientation="portrait" r:id="rId1"/>
  <headerFooter>
    <oddHeader>&amp;C&amp;A&amp;R&amp;D</oddHeader>
    <oddFooter>&amp;L&amp;Z&amp;F&amp;C
&amp;RPage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9"/>
  <sheetViews>
    <sheetView workbookViewId="0">
      <selection activeCell="C6" sqref="C6"/>
    </sheetView>
  </sheetViews>
  <sheetFormatPr baseColWidth="10" defaultRowHeight="15" x14ac:dyDescent="0.25"/>
  <cols>
    <col min="1" max="1" width="25.140625" customWidth="1"/>
    <col min="2" max="2" width="10.42578125" customWidth="1"/>
    <col min="3" max="3" width="12" customWidth="1"/>
    <col min="4" max="4" width="12.5703125" customWidth="1"/>
    <col min="5" max="5" width="10.140625" customWidth="1"/>
    <col min="6" max="6" width="10.140625" style="26" customWidth="1"/>
    <col min="7" max="7" width="9.85546875" customWidth="1"/>
  </cols>
  <sheetData>
    <row r="2" spans="1:10" x14ac:dyDescent="0.25">
      <c r="A2" s="84" t="s">
        <v>228</v>
      </c>
      <c r="B2" s="85"/>
      <c r="C2" s="85"/>
      <c r="D2" s="86"/>
      <c r="F2" s="19"/>
    </row>
    <row r="3" spans="1:10" x14ac:dyDescent="0.25">
      <c r="A3" s="20" t="s">
        <v>229</v>
      </c>
      <c r="B3" s="12" t="s">
        <v>230</v>
      </c>
      <c r="C3" s="12">
        <f>B7</f>
        <v>4878.0487804878057</v>
      </c>
      <c r="D3" s="21" t="s">
        <v>231</v>
      </c>
      <c r="E3" t="s">
        <v>180</v>
      </c>
      <c r="F3" s="14" t="s">
        <v>186</v>
      </c>
      <c r="G3" s="14" t="s">
        <v>181</v>
      </c>
      <c r="H3" s="14" t="s">
        <v>182</v>
      </c>
      <c r="I3" s="14" t="s">
        <v>189</v>
      </c>
      <c r="J3" s="14"/>
    </row>
    <row r="4" spans="1:10" x14ac:dyDescent="0.25">
      <c r="A4" s="20" t="s">
        <v>232</v>
      </c>
      <c r="B4" s="12" t="s">
        <v>233</v>
      </c>
      <c r="C4" s="12">
        <v>4.0999999999999996</v>
      </c>
      <c r="D4" s="21" t="s">
        <v>234</v>
      </c>
      <c r="E4" t="s">
        <v>66</v>
      </c>
      <c r="F4" s="14">
        <v>7.04</v>
      </c>
      <c r="G4" s="14">
        <v>200</v>
      </c>
      <c r="H4" s="17">
        <v>4.1000000000000002E-2</v>
      </c>
      <c r="I4" s="14">
        <v>4878</v>
      </c>
      <c r="J4" s="14" t="s">
        <v>190</v>
      </c>
    </row>
    <row r="5" spans="1:10" x14ac:dyDescent="0.25">
      <c r="A5" s="20" t="s">
        <v>235</v>
      </c>
      <c r="B5" s="12" t="s">
        <v>236</v>
      </c>
      <c r="C5" s="12">
        <v>200</v>
      </c>
      <c r="D5" s="21" t="s">
        <v>231</v>
      </c>
      <c r="E5" t="s">
        <v>67</v>
      </c>
      <c r="F5" s="14">
        <v>11.366</v>
      </c>
      <c r="G5" s="14">
        <v>315</v>
      </c>
      <c r="H5" s="17">
        <v>0.04</v>
      </c>
      <c r="I5" s="14">
        <v>7875</v>
      </c>
      <c r="J5" s="14" t="s">
        <v>190</v>
      </c>
    </row>
    <row r="6" spans="1:10" x14ac:dyDescent="0.25">
      <c r="A6" s="20"/>
      <c r="B6" s="12"/>
      <c r="C6" s="12"/>
      <c r="D6" s="21"/>
      <c r="F6" s="14"/>
      <c r="G6" s="14"/>
      <c r="H6" s="17"/>
      <c r="I6" s="17"/>
      <c r="J6" s="14"/>
    </row>
    <row r="7" spans="1:10" x14ac:dyDescent="0.25">
      <c r="A7" s="20" t="s">
        <v>237</v>
      </c>
      <c r="B7" s="12">
        <f>(C5*100)/C4</f>
        <v>4878.0487804878057</v>
      </c>
      <c r="C7" s="12"/>
      <c r="D7" s="21"/>
      <c r="F7" s="14" t="s">
        <v>186</v>
      </c>
      <c r="G7" s="17" t="s">
        <v>187</v>
      </c>
      <c r="H7" s="14" t="s">
        <v>188</v>
      </c>
      <c r="I7" s="14"/>
      <c r="J7" s="14"/>
    </row>
    <row r="8" spans="1:10" x14ac:dyDescent="0.25">
      <c r="A8" s="23"/>
      <c r="B8" s="24"/>
      <c r="C8" s="24"/>
      <c r="D8" s="25"/>
      <c r="E8" t="s">
        <v>116</v>
      </c>
      <c r="F8" s="14">
        <v>5.5</v>
      </c>
      <c r="G8" s="14">
        <v>35</v>
      </c>
      <c r="H8" s="14">
        <v>35</v>
      </c>
      <c r="I8" s="14"/>
      <c r="J8" s="14"/>
    </row>
    <row r="9" spans="1:10" x14ac:dyDescent="0.25">
      <c r="A9" s="84" t="s">
        <v>183</v>
      </c>
      <c r="B9" s="85"/>
      <c r="C9" s="85"/>
      <c r="D9" s="86"/>
      <c r="E9" t="s">
        <v>101</v>
      </c>
      <c r="F9" s="14">
        <v>4.34</v>
      </c>
      <c r="G9" s="14">
        <v>100</v>
      </c>
      <c r="H9" s="14">
        <v>50</v>
      </c>
      <c r="I9" s="14"/>
      <c r="J9" s="14">
        <f>0.0171*(100/10)</f>
        <v>0.17100000000000001</v>
      </c>
    </row>
    <row r="10" spans="1:10" x14ac:dyDescent="0.25">
      <c r="A10" s="20" t="s">
        <v>238</v>
      </c>
      <c r="B10" s="12" t="s">
        <v>239</v>
      </c>
      <c r="C10" s="12">
        <f>ROUND(B13,1)</f>
        <v>7</v>
      </c>
      <c r="D10" s="21" t="s">
        <v>240</v>
      </c>
      <c r="E10" t="s">
        <v>184</v>
      </c>
      <c r="F10" s="14">
        <v>4.82</v>
      </c>
      <c r="G10" s="14">
        <v>30</v>
      </c>
      <c r="H10" s="14">
        <v>10</v>
      </c>
      <c r="I10" s="14"/>
      <c r="J10" s="14">
        <f>22.5*(100/10)</f>
        <v>225</v>
      </c>
    </row>
    <row r="11" spans="1:10" x14ac:dyDescent="0.25">
      <c r="A11" s="20" t="s">
        <v>241</v>
      </c>
      <c r="B11" s="12" t="s">
        <v>242</v>
      </c>
      <c r="C11" s="12">
        <v>400</v>
      </c>
      <c r="D11" s="21" t="s">
        <v>243</v>
      </c>
      <c r="E11" t="s">
        <v>129</v>
      </c>
      <c r="F11" s="14">
        <v>6.97</v>
      </c>
      <c r="G11" s="14">
        <v>50</v>
      </c>
      <c r="H11" s="14">
        <v>50</v>
      </c>
      <c r="I11" s="14"/>
      <c r="J11" s="14"/>
    </row>
    <row r="12" spans="1:10" x14ac:dyDescent="0.25">
      <c r="A12" s="20"/>
      <c r="B12" s="12"/>
      <c r="C12" s="12"/>
      <c r="D12" s="21"/>
      <c r="E12" t="s">
        <v>185</v>
      </c>
      <c r="F12" s="14">
        <v>1.72</v>
      </c>
      <c r="G12" s="14">
        <v>80</v>
      </c>
      <c r="H12" s="14">
        <v>16</v>
      </c>
      <c r="I12" s="14"/>
      <c r="J12" s="14"/>
    </row>
    <row r="13" spans="1:10" x14ac:dyDescent="0.25">
      <c r="A13" s="20" t="s">
        <v>244</v>
      </c>
      <c r="B13" s="12">
        <f>C3/(C11*SQRT(3))</f>
        <v>7.0408569413369007</v>
      </c>
      <c r="C13" s="12"/>
      <c r="D13" s="21"/>
      <c r="E13" t="s">
        <v>113</v>
      </c>
      <c r="F13" s="14">
        <v>3.88</v>
      </c>
      <c r="G13" s="14">
        <v>60</v>
      </c>
      <c r="H13" s="14">
        <v>25</v>
      </c>
      <c r="I13" s="14"/>
      <c r="J13" s="14"/>
    </row>
    <row r="14" spans="1:10" x14ac:dyDescent="0.25">
      <c r="A14" s="23"/>
      <c r="B14" s="24"/>
      <c r="C14" s="24"/>
      <c r="D14" s="25"/>
      <c r="E14" t="s">
        <v>137</v>
      </c>
      <c r="F14" s="14">
        <v>4.95</v>
      </c>
      <c r="G14" s="14">
        <v>25</v>
      </c>
      <c r="H14" s="14">
        <v>35</v>
      </c>
      <c r="I14" s="14"/>
      <c r="J14" s="14"/>
    </row>
    <row r="15" spans="1:10" x14ac:dyDescent="0.25">
      <c r="A15" s="27"/>
      <c r="B15" s="27"/>
      <c r="C15" s="27"/>
      <c r="D15" s="27"/>
      <c r="E15" s="12"/>
    </row>
    <row r="16" spans="1:10" x14ac:dyDescent="0.25">
      <c r="A16" s="12"/>
      <c r="B16" s="12" t="s">
        <v>245</v>
      </c>
      <c r="C16" s="12" t="s">
        <v>246</v>
      </c>
      <c r="D16" s="12"/>
      <c r="E16" s="12"/>
    </row>
    <row r="17" spans="1:9" x14ac:dyDescent="0.25">
      <c r="A17" s="12" t="s">
        <v>247</v>
      </c>
      <c r="B17" s="28">
        <v>35</v>
      </c>
      <c r="C17" s="12">
        <v>35</v>
      </c>
      <c r="D17" s="12"/>
      <c r="E17" s="12"/>
    </row>
    <row r="18" spans="1:9" x14ac:dyDescent="0.25">
      <c r="A18" s="12" t="s">
        <v>248</v>
      </c>
      <c r="B18" s="12">
        <v>25</v>
      </c>
      <c r="C18" s="12">
        <v>35</v>
      </c>
      <c r="D18" s="12"/>
      <c r="E18" s="12"/>
    </row>
    <row r="19" spans="1:9" x14ac:dyDescent="0.25">
      <c r="A19" s="12" t="s">
        <v>249</v>
      </c>
      <c r="B19" s="12">
        <v>25</v>
      </c>
      <c r="C19" s="12">
        <v>10</v>
      </c>
      <c r="D19" s="12"/>
      <c r="E19" s="12"/>
    </row>
    <row r="20" spans="1:9" x14ac:dyDescent="0.25">
      <c r="A20" s="12" t="s">
        <v>250</v>
      </c>
      <c r="B20" s="22"/>
      <c r="C20" s="22">
        <v>2.5</v>
      </c>
      <c r="D20" s="12"/>
      <c r="E20" s="12"/>
    </row>
    <row r="21" spans="1:9" x14ac:dyDescent="0.25">
      <c r="A21" s="12"/>
      <c r="B21" s="12"/>
      <c r="C21" s="12"/>
      <c r="D21" s="12"/>
      <c r="E21" s="12"/>
    </row>
    <row r="23" spans="1:9" x14ac:dyDescent="0.25">
      <c r="B23" t="s">
        <v>378</v>
      </c>
      <c r="C23" t="s">
        <v>379</v>
      </c>
      <c r="D23" t="s">
        <v>252</v>
      </c>
      <c r="E23" t="s">
        <v>253</v>
      </c>
      <c r="F23" s="26" t="s">
        <v>254</v>
      </c>
      <c r="G23" t="s">
        <v>239</v>
      </c>
    </row>
    <row r="25" spans="1:9" x14ac:dyDescent="0.25">
      <c r="A25" t="s">
        <v>255</v>
      </c>
      <c r="B25" s="26">
        <v>0</v>
      </c>
      <c r="C25" s="26">
        <f>(C11*(C11/C5))*C4/100</f>
        <v>32.799999999999997</v>
      </c>
      <c r="D25" s="26">
        <f>B25+D24</f>
        <v>0</v>
      </c>
      <c r="E25" s="26">
        <f>C25+E24</f>
        <v>32.799999999999997</v>
      </c>
      <c r="F25" s="26">
        <f>IF(B16&lt;&gt;"",SQRT(POWER(D25,2)+POWER(E25,2)),"")</f>
        <v>32.799999999999997</v>
      </c>
      <c r="G25" s="26">
        <f>(C11/SQRT(3))/F25</f>
        <v>7.0408569413369007</v>
      </c>
      <c r="H25" s="78">
        <f>SQRT(POWER(B25,2)+POWER(C25,2))</f>
        <v>32.799999999999997</v>
      </c>
    </row>
    <row r="26" spans="1:9" x14ac:dyDescent="0.25">
      <c r="A26" t="s">
        <v>256</v>
      </c>
      <c r="B26" s="26">
        <f>0.01851*((B17)/C17)*1000</f>
        <v>18.509999999999998</v>
      </c>
      <c r="C26" s="26">
        <f>0.08*B17</f>
        <v>2.8000000000000003</v>
      </c>
      <c r="D26" s="26">
        <f>B26+D25</f>
        <v>18.509999999999998</v>
      </c>
      <c r="E26" s="26">
        <f>C26+E25</f>
        <v>35.599999999999994</v>
      </c>
      <c r="F26" s="26">
        <f>IF(B17&lt;&gt;"",SQRT(POWER(D26,2)+POWER(E26,2)),"")</f>
        <v>40.124557318430313</v>
      </c>
      <c r="G26" s="26">
        <f>(C11/SQRT(3))/F26</f>
        <v>5.7555802010000789</v>
      </c>
      <c r="H26" s="78">
        <f>SQRT(POWER(B26,2)+POWER(C26,2))</f>
        <v>18.720579585044902</v>
      </c>
    </row>
    <row r="27" spans="1:9" x14ac:dyDescent="0.25">
      <c r="A27" t="s">
        <v>257</v>
      </c>
      <c r="B27" s="26">
        <f t="shared" ref="B27:B28" si="0">0.01851*((B18)/C18)*1000</f>
        <v>13.221428571428572</v>
      </c>
      <c r="C27" s="26">
        <f>0.08*B18</f>
        <v>2</v>
      </c>
      <c r="D27" s="26">
        <f>IF(B18&lt;&gt;"",B27+D26,"")</f>
        <v>31.73142857142857</v>
      </c>
      <c r="E27" s="26">
        <f t="shared" ref="E27:E29" si="1">C27+E26</f>
        <v>37.599999999999994</v>
      </c>
      <c r="F27" s="26">
        <f>IF(B18&lt;&gt;"",SQRT(POWER(D27,2)+POWER(E27,2)),"")</f>
        <v>49.200036170552487</v>
      </c>
      <c r="G27" s="26">
        <f>IF(B18&lt;&gt;"",(C11/SQRT(3))/F27,"")</f>
        <v>4.6939011767246228</v>
      </c>
      <c r="H27" s="78">
        <f t="shared" ref="H27:H28" si="2">SQRT(POWER(B27,2)+POWER(C27,2))</f>
        <v>13.371842560746359</v>
      </c>
    </row>
    <row r="28" spans="1:9" x14ac:dyDescent="0.25">
      <c r="A28" t="s">
        <v>258</v>
      </c>
      <c r="B28" s="26">
        <f t="shared" si="0"/>
        <v>46.274999999999999</v>
      </c>
      <c r="C28" s="26">
        <f>0.08*B19</f>
        <v>2</v>
      </c>
      <c r="D28" s="26">
        <f>IF(B19&lt;&gt;"",B28+D27,"")</f>
        <v>78.006428571428572</v>
      </c>
      <c r="E28" s="26">
        <f t="shared" si="1"/>
        <v>39.599999999999994</v>
      </c>
      <c r="F28" s="26">
        <f>IF(B19&lt;&gt;"",SQRT(POWER(D28,2)+POWER(E28,2)),"")</f>
        <v>87.482357641237513</v>
      </c>
      <c r="G28" s="26">
        <f>IF(B19&lt;&gt;"",(C11/SQRT(3))/F28,"")</f>
        <v>2.6398477807711664</v>
      </c>
      <c r="H28" s="78">
        <f t="shared" si="2"/>
        <v>46.318199716742008</v>
      </c>
      <c r="I28">
        <f>H28+H27+H26+H25</f>
        <v>111.21062186253327</v>
      </c>
    </row>
    <row r="29" spans="1:9" x14ac:dyDescent="0.25">
      <c r="A29" t="s">
        <v>259</v>
      </c>
      <c r="B29" s="26" t="str">
        <f>IF(B20&lt;&gt;"",22.5*(B20/C20),"")</f>
        <v/>
      </c>
      <c r="C29" s="26">
        <f>0.08*B20</f>
        <v>0</v>
      </c>
      <c r="D29" s="26" t="str">
        <f>IF(B20&lt;&gt;"",B29+D28,"")</f>
        <v/>
      </c>
      <c r="E29" s="26">
        <f t="shared" si="1"/>
        <v>39.599999999999994</v>
      </c>
      <c r="F29" s="26" t="str">
        <f>IF(B20&lt;&gt;"",SQRT(POWER(D29,2)+POWER(E29,2)),"")</f>
        <v/>
      </c>
      <c r="G29" s="26" t="str">
        <f>IF(B20&lt;&gt;"",(C11/SQRT(3))/F29,"")</f>
        <v/>
      </c>
    </row>
    <row r="32" spans="1:9" x14ac:dyDescent="0.25">
      <c r="B32" s="26"/>
      <c r="C32" s="26"/>
      <c r="D32" s="26"/>
      <c r="E32" s="26"/>
      <c r="G32" s="26"/>
    </row>
    <row r="33" spans="2:10" x14ac:dyDescent="0.25">
      <c r="B33" s="26"/>
      <c r="C33" s="26"/>
      <c r="F33"/>
      <c r="I33" s="26"/>
    </row>
    <row r="34" spans="2:10" x14ac:dyDescent="0.25">
      <c r="B34" s="26"/>
      <c r="C34" s="26"/>
      <c r="F34"/>
      <c r="I34" s="26"/>
    </row>
    <row r="35" spans="2:10" x14ac:dyDescent="0.25">
      <c r="B35" s="26"/>
      <c r="C35" s="26"/>
      <c r="E35" s="26"/>
      <c r="G35" s="26"/>
      <c r="H35" s="26"/>
      <c r="I35" s="26"/>
      <c r="J35" s="26"/>
    </row>
    <row r="36" spans="2:10" x14ac:dyDescent="0.25">
      <c r="B36" s="26"/>
      <c r="C36" s="26"/>
      <c r="E36" s="26"/>
      <c r="G36" s="26"/>
      <c r="H36" s="26"/>
      <c r="I36" s="26"/>
      <c r="J36" s="26"/>
    </row>
    <row r="37" spans="2:10" x14ac:dyDescent="0.25">
      <c r="E37" s="26"/>
      <c r="G37" s="26"/>
      <c r="H37" s="26"/>
      <c r="I37" s="26"/>
      <c r="J37" s="26"/>
    </row>
    <row r="38" spans="2:10" x14ac:dyDescent="0.25">
      <c r="E38" s="26"/>
      <c r="G38" s="26"/>
      <c r="H38" s="26"/>
      <c r="I38" s="26"/>
      <c r="J38" s="26"/>
    </row>
    <row r="39" spans="2:10" x14ac:dyDescent="0.25">
      <c r="E39" s="26"/>
      <c r="G39" s="26"/>
      <c r="H39" s="26"/>
      <c r="I39" s="26"/>
      <c r="J39" s="26"/>
    </row>
  </sheetData>
  <mergeCells count="2">
    <mergeCell ref="A2:D2"/>
    <mergeCell ref="A9:D9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9"/>
  <sheetViews>
    <sheetView topLeftCell="A4" workbookViewId="0">
      <selection activeCell="C25" sqref="C25"/>
    </sheetView>
  </sheetViews>
  <sheetFormatPr baseColWidth="10" defaultRowHeight="15" x14ac:dyDescent="0.25"/>
  <cols>
    <col min="1" max="1" width="25.140625" customWidth="1"/>
    <col min="2" max="2" width="10.42578125" customWidth="1"/>
    <col min="3" max="3" width="12" customWidth="1"/>
    <col min="4" max="4" width="12.5703125" customWidth="1"/>
    <col min="5" max="5" width="10.140625" customWidth="1"/>
    <col min="6" max="6" width="10.140625" style="26" customWidth="1"/>
    <col min="7" max="7" width="9.85546875" customWidth="1"/>
  </cols>
  <sheetData>
    <row r="2" spans="1:10" x14ac:dyDescent="0.25">
      <c r="A2" s="84" t="s">
        <v>228</v>
      </c>
      <c r="B2" s="85"/>
      <c r="C2" s="85"/>
      <c r="D2" s="86"/>
      <c r="F2" s="19"/>
    </row>
    <row r="3" spans="1:10" x14ac:dyDescent="0.25">
      <c r="A3" s="20" t="s">
        <v>229</v>
      </c>
      <c r="B3" s="12" t="s">
        <v>230</v>
      </c>
      <c r="C3" s="12">
        <f>B7</f>
        <v>7875</v>
      </c>
      <c r="D3" s="21" t="s">
        <v>231</v>
      </c>
      <c r="E3" t="s">
        <v>180</v>
      </c>
      <c r="F3" s="14" t="s">
        <v>186</v>
      </c>
      <c r="G3" s="14" t="s">
        <v>181</v>
      </c>
      <c r="H3" s="14" t="s">
        <v>182</v>
      </c>
      <c r="I3" s="14" t="s">
        <v>189</v>
      </c>
      <c r="J3" s="14"/>
    </row>
    <row r="4" spans="1:10" x14ac:dyDescent="0.25">
      <c r="A4" s="20" t="s">
        <v>232</v>
      </c>
      <c r="B4" s="12" t="s">
        <v>233</v>
      </c>
      <c r="C4" s="12">
        <v>4</v>
      </c>
      <c r="D4" s="21" t="s">
        <v>234</v>
      </c>
      <c r="E4" t="s">
        <v>66</v>
      </c>
      <c r="F4" s="14">
        <v>7.04</v>
      </c>
      <c r="G4" s="14">
        <v>200</v>
      </c>
      <c r="H4" s="17">
        <v>4.1000000000000002E-2</v>
      </c>
      <c r="I4" s="14">
        <v>4878</v>
      </c>
      <c r="J4" s="14" t="s">
        <v>190</v>
      </c>
    </row>
    <row r="5" spans="1:10" x14ac:dyDescent="0.25">
      <c r="A5" s="20" t="s">
        <v>235</v>
      </c>
      <c r="B5" s="12" t="s">
        <v>236</v>
      </c>
      <c r="C5" s="12">
        <v>315</v>
      </c>
      <c r="D5" s="21" t="s">
        <v>231</v>
      </c>
      <c r="E5" t="s">
        <v>67</v>
      </c>
      <c r="F5" s="14">
        <v>11.366</v>
      </c>
      <c r="G5" s="14">
        <v>315</v>
      </c>
      <c r="H5" s="17">
        <v>0.04</v>
      </c>
      <c r="I5" s="14">
        <v>7875</v>
      </c>
      <c r="J5" s="14" t="s">
        <v>190</v>
      </c>
    </row>
    <row r="6" spans="1:10" x14ac:dyDescent="0.25">
      <c r="A6" s="20"/>
      <c r="B6" s="12"/>
      <c r="C6" s="12"/>
      <c r="D6" s="21"/>
      <c r="F6" s="14"/>
      <c r="G6" s="14"/>
      <c r="H6" s="17"/>
      <c r="I6" s="17"/>
      <c r="J6" s="14"/>
    </row>
    <row r="7" spans="1:10" x14ac:dyDescent="0.25">
      <c r="A7" s="20" t="s">
        <v>237</v>
      </c>
      <c r="B7" s="12">
        <f>(C5*100)/C4</f>
        <v>7875</v>
      </c>
      <c r="C7" s="12"/>
      <c r="D7" s="21"/>
      <c r="F7" s="14" t="s">
        <v>186</v>
      </c>
      <c r="G7" s="17" t="s">
        <v>187</v>
      </c>
      <c r="H7" s="14" t="s">
        <v>188</v>
      </c>
      <c r="I7" s="14"/>
      <c r="J7" s="14"/>
    </row>
    <row r="8" spans="1:10" x14ac:dyDescent="0.25">
      <c r="A8" s="23"/>
      <c r="B8" s="24"/>
      <c r="C8" s="24"/>
      <c r="D8" s="25"/>
      <c r="E8" t="s">
        <v>116</v>
      </c>
      <c r="F8" s="14">
        <v>5.5</v>
      </c>
      <c r="G8" s="14">
        <v>35</v>
      </c>
      <c r="H8" s="14">
        <v>35</v>
      </c>
      <c r="I8" s="14"/>
      <c r="J8" s="14"/>
    </row>
    <row r="9" spans="1:10" x14ac:dyDescent="0.25">
      <c r="A9" s="84" t="s">
        <v>183</v>
      </c>
      <c r="B9" s="85"/>
      <c r="C9" s="85"/>
      <c r="D9" s="86"/>
      <c r="E9" t="s">
        <v>101</v>
      </c>
      <c r="F9" s="14">
        <v>4.34</v>
      </c>
      <c r="G9" s="14">
        <v>100</v>
      </c>
      <c r="H9" s="14">
        <v>50</v>
      </c>
      <c r="I9" s="14"/>
      <c r="J9" s="14">
        <f>0.0171*(100/10)</f>
        <v>0.17100000000000001</v>
      </c>
    </row>
    <row r="10" spans="1:10" x14ac:dyDescent="0.25">
      <c r="A10" s="20" t="s">
        <v>238</v>
      </c>
      <c r="B10" s="12" t="s">
        <v>239</v>
      </c>
      <c r="C10" s="12">
        <f>ROUND(B13,1)</f>
        <v>11.4</v>
      </c>
      <c r="D10" s="21" t="s">
        <v>240</v>
      </c>
      <c r="E10" t="s">
        <v>184</v>
      </c>
      <c r="F10" s="14">
        <v>4.82</v>
      </c>
      <c r="G10" s="14">
        <v>30</v>
      </c>
      <c r="H10" s="14">
        <v>10</v>
      </c>
      <c r="I10" s="14"/>
      <c r="J10" s="14">
        <f>22.5*(100/10)</f>
        <v>225</v>
      </c>
    </row>
    <row r="11" spans="1:10" x14ac:dyDescent="0.25">
      <c r="A11" s="20" t="s">
        <v>241</v>
      </c>
      <c r="B11" s="12" t="s">
        <v>242</v>
      </c>
      <c r="C11" s="12">
        <v>400</v>
      </c>
      <c r="D11" s="21" t="s">
        <v>243</v>
      </c>
      <c r="E11" t="s">
        <v>129</v>
      </c>
      <c r="F11" s="14">
        <v>6.97</v>
      </c>
      <c r="G11" s="14">
        <v>50</v>
      </c>
      <c r="H11" s="14">
        <v>50</v>
      </c>
      <c r="I11" s="14"/>
      <c r="J11" s="14"/>
    </row>
    <row r="12" spans="1:10" x14ac:dyDescent="0.25">
      <c r="A12" s="20"/>
      <c r="B12" s="12"/>
      <c r="C12" s="12"/>
      <c r="D12" s="21"/>
      <c r="E12" t="s">
        <v>185</v>
      </c>
      <c r="F12" s="14">
        <v>1.72</v>
      </c>
      <c r="G12" s="14">
        <v>80</v>
      </c>
      <c r="H12" s="14">
        <v>16</v>
      </c>
      <c r="I12" s="14"/>
      <c r="J12" s="14"/>
    </row>
    <row r="13" spans="1:10" x14ac:dyDescent="0.25">
      <c r="A13" s="20" t="s">
        <v>244</v>
      </c>
      <c r="B13" s="12">
        <f>C3/(C11*SQRT(3))</f>
        <v>11.366583424670758</v>
      </c>
      <c r="C13" s="12"/>
      <c r="D13" s="21"/>
      <c r="E13" t="s">
        <v>113</v>
      </c>
      <c r="F13" s="14">
        <v>3.88</v>
      </c>
      <c r="G13" s="14">
        <v>60</v>
      </c>
      <c r="H13" s="14">
        <v>25</v>
      </c>
      <c r="I13" s="14"/>
      <c r="J13" s="14"/>
    </row>
    <row r="14" spans="1:10" x14ac:dyDescent="0.25">
      <c r="A14" s="23"/>
      <c r="B14" s="24"/>
      <c r="C14" s="24"/>
      <c r="D14" s="25"/>
      <c r="E14" t="s">
        <v>137</v>
      </c>
      <c r="F14" s="14">
        <v>4.95</v>
      </c>
      <c r="G14" s="14">
        <v>25</v>
      </c>
      <c r="H14" s="14">
        <v>35</v>
      </c>
      <c r="I14" s="14"/>
      <c r="J14" s="14"/>
    </row>
    <row r="15" spans="1:10" x14ac:dyDescent="0.25">
      <c r="A15" s="27"/>
      <c r="B15" s="27"/>
      <c r="C15" s="27"/>
      <c r="D15" s="27"/>
      <c r="E15" s="12"/>
    </row>
    <row r="16" spans="1:10" x14ac:dyDescent="0.25">
      <c r="A16" s="12"/>
      <c r="B16" s="12" t="s">
        <v>245</v>
      </c>
      <c r="C16" s="12" t="s">
        <v>246</v>
      </c>
      <c r="D16" s="12"/>
      <c r="E16" s="12"/>
    </row>
    <row r="17" spans="1:7" x14ac:dyDescent="0.25">
      <c r="A17" s="12" t="s">
        <v>247</v>
      </c>
      <c r="B17" s="28">
        <v>50</v>
      </c>
      <c r="C17" s="12">
        <v>50</v>
      </c>
      <c r="D17" s="12"/>
      <c r="E17" s="12"/>
    </row>
    <row r="18" spans="1:7" x14ac:dyDescent="0.25">
      <c r="A18" s="12" t="s">
        <v>248</v>
      </c>
      <c r="B18" s="12">
        <v>25</v>
      </c>
      <c r="C18" s="12">
        <v>35</v>
      </c>
      <c r="D18" s="12"/>
      <c r="E18" s="12"/>
    </row>
    <row r="19" spans="1:7" x14ac:dyDescent="0.25">
      <c r="A19" s="12" t="s">
        <v>249</v>
      </c>
      <c r="B19" s="12">
        <v>25</v>
      </c>
      <c r="C19" s="12">
        <v>10</v>
      </c>
      <c r="D19" s="12"/>
      <c r="E19" s="12"/>
    </row>
    <row r="20" spans="1:7" x14ac:dyDescent="0.25">
      <c r="A20" s="12" t="s">
        <v>250</v>
      </c>
      <c r="B20" s="22"/>
      <c r="C20" s="22">
        <v>2.5</v>
      </c>
      <c r="D20" s="12"/>
      <c r="E20" s="12"/>
    </row>
    <row r="21" spans="1:7" x14ac:dyDescent="0.25">
      <c r="A21" s="12"/>
      <c r="B21" s="12"/>
      <c r="C21" s="12"/>
      <c r="D21" s="12"/>
      <c r="E21" s="12"/>
    </row>
    <row r="23" spans="1:7" x14ac:dyDescent="0.25">
      <c r="B23" t="s">
        <v>378</v>
      </c>
      <c r="C23" t="s">
        <v>379</v>
      </c>
      <c r="D23" t="s">
        <v>252</v>
      </c>
      <c r="E23" t="s">
        <v>253</v>
      </c>
      <c r="F23" s="26" t="s">
        <v>254</v>
      </c>
      <c r="G23" t="s">
        <v>239</v>
      </c>
    </row>
    <row r="25" spans="1:7" x14ac:dyDescent="0.25">
      <c r="A25" t="s">
        <v>255</v>
      </c>
      <c r="B25" s="26">
        <v>0</v>
      </c>
      <c r="C25" s="26">
        <f>(C11*C11/C5)*C4/100</f>
        <v>20.317460317460316</v>
      </c>
      <c r="D25" s="26">
        <f>B25+D24</f>
        <v>0</v>
      </c>
      <c r="E25" s="26">
        <f>C25+E24</f>
        <v>20.317460317460316</v>
      </c>
      <c r="F25" s="26">
        <f>IF(B16&lt;&gt;"",SQRT(POWER(D25,2)+POWER(E25,2)),"")+F24</f>
        <v>20.317460317460316</v>
      </c>
      <c r="G25" s="26">
        <f>(C11/SQRT(3))/F25</f>
        <v>11.366583424670759</v>
      </c>
    </row>
    <row r="26" spans="1:7" x14ac:dyDescent="0.25">
      <c r="A26" t="s">
        <v>256</v>
      </c>
      <c r="B26" s="26">
        <f>22.5*(B17/C17)</f>
        <v>22.5</v>
      </c>
      <c r="C26" s="26">
        <f>0.08*B17</f>
        <v>4</v>
      </c>
      <c r="D26" s="26">
        <f>B26+D25</f>
        <v>22.5</v>
      </c>
      <c r="E26" s="26">
        <f>C26+E25</f>
        <v>24.317460317460316</v>
      </c>
      <c r="F26" s="26">
        <f>IF(B17&lt;&gt;"",SQRT(POWER(D26,2)+POWER(E26,2)),"")</f>
        <v>33.129878905472282</v>
      </c>
      <c r="G26" s="26">
        <f>(C11/SQRT(3))/F26</f>
        <v>6.9707501296572625</v>
      </c>
    </row>
    <row r="27" spans="1:7" x14ac:dyDescent="0.25">
      <c r="A27" t="s">
        <v>257</v>
      </c>
      <c r="B27" s="26">
        <f>IF(B18&lt;&gt;"",22.5*(B18/C18),"")</f>
        <v>16.071428571428573</v>
      </c>
      <c r="C27" s="26">
        <f>0.08*B18</f>
        <v>2</v>
      </c>
      <c r="D27" s="26">
        <f>IF(B18&lt;&gt;"",B27+D26,"")</f>
        <v>38.571428571428569</v>
      </c>
      <c r="E27" s="26">
        <f t="shared" ref="E27:E29" si="0">C27+E26</f>
        <v>26.317460317460316</v>
      </c>
      <c r="F27" s="26">
        <f>IF(B18&lt;&gt;"",SQRT(POWER(D27,2)+POWER(E27,2)),"")</f>
        <v>46.694366037048994</v>
      </c>
      <c r="G27" s="26">
        <f>IF(B18&lt;&gt;"",(C11/SQRT(3))/F27,"")</f>
        <v>4.9457809854964969</v>
      </c>
    </row>
    <row r="28" spans="1:7" x14ac:dyDescent="0.25">
      <c r="A28" t="s">
        <v>258</v>
      </c>
      <c r="B28" s="26">
        <f>IF(B19&lt;&gt;"",22.5*(B19/C19),"")</f>
        <v>56.25</v>
      </c>
      <c r="C28" s="26">
        <f>0.08*B19</f>
        <v>2</v>
      </c>
      <c r="D28" s="26">
        <f>IF(B19&lt;&gt;"",B28+D27,"")</f>
        <v>94.821428571428569</v>
      </c>
      <c r="E28" s="26">
        <f t="shared" si="0"/>
        <v>28.317460317460316</v>
      </c>
      <c r="F28" s="26">
        <f>IF(B19&lt;&gt;"",SQRT(POWER(D28,2)+POWER(E28,2)),"")</f>
        <v>98.959496134314833</v>
      </c>
      <c r="G28" s="26">
        <f>IF(B19&lt;&gt;"",(C11/SQRT(3))/F28,"")</f>
        <v>2.3336831400434987</v>
      </c>
    </row>
    <row r="29" spans="1:7" x14ac:dyDescent="0.25">
      <c r="A29" t="s">
        <v>259</v>
      </c>
      <c r="B29" s="26" t="str">
        <f>IF(B20&lt;&gt;"",22.5*(B20/C20),"")</f>
        <v/>
      </c>
      <c r="C29" s="26">
        <f>0.08*B20</f>
        <v>0</v>
      </c>
      <c r="D29" s="26" t="str">
        <f>IF(B20&lt;&gt;"",B29+D28,"")</f>
        <v/>
      </c>
      <c r="E29" s="26">
        <f t="shared" si="0"/>
        <v>28.317460317460316</v>
      </c>
      <c r="F29" s="26" t="str">
        <f>IF(B20&lt;&gt;"",SQRT(POWER(D29,2)+POWER(E29,2)),"")</f>
        <v/>
      </c>
      <c r="G29" s="26" t="str">
        <f>IF(B20&lt;&gt;"",(C11/SQRT(3))/F29,"")</f>
        <v/>
      </c>
    </row>
    <row r="32" spans="1:7" x14ac:dyDescent="0.25">
      <c r="B32" s="26"/>
      <c r="C32" s="26"/>
      <c r="D32" s="26"/>
      <c r="E32" s="26"/>
      <c r="G32" s="26"/>
    </row>
    <row r="33" spans="2:10" x14ac:dyDescent="0.25">
      <c r="B33" s="26"/>
      <c r="C33" s="26"/>
      <c r="F33"/>
      <c r="I33" s="26"/>
    </row>
    <row r="34" spans="2:10" x14ac:dyDescent="0.25">
      <c r="B34" s="26"/>
      <c r="C34" s="26"/>
      <c r="F34"/>
      <c r="I34" s="26"/>
    </row>
    <row r="35" spans="2:10" x14ac:dyDescent="0.25">
      <c r="B35" s="26"/>
      <c r="C35" s="26"/>
      <c r="E35" s="26"/>
      <c r="G35" s="26"/>
      <c r="H35" s="26"/>
      <c r="I35" s="26"/>
      <c r="J35" s="26"/>
    </row>
    <row r="36" spans="2:10" x14ac:dyDescent="0.25">
      <c r="B36" s="26"/>
      <c r="C36" s="26"/>
      <c r="E36" s="26"/>
      <c r="G36" s="26"/>
      <c r="H36" s="26"/>
      <c r="I36" s="26"/>
      <c r="J36" s="26"/>
    </row>
    <row r="37" spans="2:10" x14ac:dyDescent="0.25">
      <c r="E37" s="26"/>
      <c r="G37" s="26"/>
      <c r="H37" s="26"/>
      <c r="I37" s="26"/>
      <c r="J37" s="26"/>
    </row>
    <row r="38" spans="2:10" x14ac:dyDescent="0.25">
      <c r="E38" s="26"/>
      <c r="G38" s="26"/>
      <c r="H38" s="26"/>
      <c r="I38" s="26"/>
      <c r="J38" s="26"/>
    </row>
    <row r="39" spans="2:10" x14ac:dyDescent="0.25">
      <c r="E39" s="26"/>
      <c r="G39" s="26"/>
      <c r="H39" s="26"/>
      <c r="I39" s="26"/>
      <c r="J39" s="26"/>
    </row>
  </sheetData>
  <mergeCells count="2">
    <mergeCell ref="A2:D2"/>
    <mergeCell ref="A9:D9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view="pageLayout" zoomScaleNormal="100" workbookViewId="0">
      <selection activeCell="E4" sqref="E4"/>
    </sheetView>
  </sheetViews>
  <sheetFormatPr baseColWidth="10" defaultRowHeight="15" x14ac:dyDescent="0.25"/>
  <cols>
    <col min="1" max="1" width="16" customWidth="1"/>
    <col min="3" max="4" width="11.42578125" style="66"/>
    <col min="5" max="5" width="11.42578125" style="64"/>
  </cols>
  <sheetData>
    <row r="1" spans="1:6" x14ac:dyDescent="0.25">
      <c r="A1" t="s">
        <v>353</v>
      </c>
      <c r="B1" t="s">
        <v>354</v>
      </c>
      <c r="C1" s="66" t="s">
        <v>223</v>
      </c>
      <c r="D1" s="66" t="s">
        <v>173</v>
      </c>
      <c r="E1" s="64" t="s">
        <v>172</v>
      </c>
      <c r="F1" s="63"/>
    </row>
    <row r="3" spans="1:6" x14ac:dyDescent="0.25">
      <c r="A3" s="4" t="s">
        <v>56</v>
      </c>
      <c r="B3" s="67" t="str">
        <f>VLOOKUP(A3,'Listing compteurs (2)'!B:C,2,FALSE)</f>
        <v>C7.1</v>
      </c>
      <c r="C3" s="4">
        <f>VLOOKUP($A$3:$A$76,'Listing compteurs (2)'!$B$1:$M$107,12,FALSE)</f>
        <v>41947</v>
      </c>
      <c r="D3" s="4" t="e">
        <f>VLOOKUP($A$3:$A$76,'Listing compteurs (2)'!$B$1:$M$107,13,FALSE)</f>
        <v>#REF!</v>
      </c>
      <c r="E3" s="68" t="e">
        <f>IF(VLOOKUP($A$3:$A$76,'Listing compteurs (2)'!$B$1:$M$107,14,FALSE),VLOOKUP($A$3:$A$76,'Listing compteurs (2)'!$B$1:$M$107,14,FALSE),"")</f>
        <v>#REF!</v>
      </c>
    </row>
    <row r="4" spans="1:6" x14ac:dyDescent="0.25">
      <c r="A4" s="4" t="s">
        <v>57</v>
      </c>
      <c r="B4" s="67" t="str">
        <f>VLOOKUP(A4,'Listing compteurs (2)'!B:C,2,FALSE)</f>
        <v>C7.2</v>
      </c>
      <c r="C4" s="4">
        <f>VLOOKUP($A$3:$A$76,'Listing compteurs (2)'!$B$1:$M$107,12,FALSE)</f>
        <v>41947</v>
      </c>
      <c r="D4" s="4" t="e">
        <f>VLOOKUP($A$3:$A$76,'Listing compteurs (2)'!$B$1:$M$107,13,FALSE)</f>
        <v>#REF!</v>
      </c>
      <c r="E4" s="68" t="e">
        <f>IF(VLOOKUP($A$3:$A$76,'Listing compteurs (2)'!$B$1:$M$107,14,FALSE),VLOOKUP($A$3:$A$76,'Listing compteurs (2)'!$B$1:$M$107,14,FALSE),"")</f>
        <v>#REF!</v>
      </c>
    </row>
    <row r="5" spans="1:6" x14ac:dyDescent="0.25">
      <c r="A5" s="4" t="s">
        <v>58</v>
      </c>
      <c r="B5" s="67" t="str">
        <f>VLOOKUP(A5,'Listing compteurs (2)'!B:C,2,FALSE)</f>
        <v>C1.1</v>
      </c>
      <c r="C5" s="4">
        <f>VLOOKUP($A$3:$A$76,'Listing compteurs (2)'!$B$1:$M$107,12,FALSE)</f>
        <v>41947</v>
      </c>
      <c r="D5" s="4" t="e">
        <f>VLOOKUP($A$3:$A$76,'Listing compteurs (2)'!$B$1:$M$107,13,FALSE)</f>
        <v>#REF!</v>
      </c>
      <c r="E5" s="68" t="e">
        <f>IF(VLOOKUP($A$3:$A$76,'Listing compteurs (2)'!$B$1:$M$107,14,FALSE),VLOOKUP($A$3:$A$76,'Listing compteurs (2)'!$B$1:$M$107,14,FALSE),"")</f>
        <v>#REF!</v>
      </c>
      <c r="F5" s="65"/>
    </row>
    <row r="6" spans="1:6" x14ac:dyDescent="0.25">
      <c r="A6" s="4" t="s">
        <v>153</v>
      </c>
      <c r="B6" s="67" t="str">
        <f>VLOOKUP(A6,'Listing compteurs (2)'!B:C,2,FALSE)</f>
        <v>C5.1</v>
      </c>
      <c r="C6" s="4">
        <f>VLOOKUP($A$3:$A$76,'Listing compteurs (2)'!$B$1:$M$107,12,FALSE)</f>
        <v>41947</v>
      </c>
      <c r="D6" s="4" t="e">
        <f>VLOOKUP($A$3:$A$76,'Listing compteurs (2)'!$B$1:$M$107,13,FALSE)</f>
        <v>#REF!</v>
      </c>
      <c r="E6" s="68" t="e">
        <f>IF(VLOOKUP($A$3:$A$76,'Listing compteurs (2)'!$B$1:$M$107,14,FALSE),VLOOKUP($A$3:$A$76,'Listing compteurs (2)'!$B$1:$M$107,14,FALSE),"")</f>
        <v>#REF!</v>
      </c>
    </row>
    <row r="7" spans="1:6" x14ac:dyDescent="0.25">
      <c r="A7" s="4" t="s">
        <v>60</v>
      </c>
      <c r="B7" s="67" t="str">
        <f>VLOOKUP(A7,'Listing compteurs (2)'!B:C,2,FALSE)</f>
        <v>C9.1</v>
      </c>
      <c r="C7" s="67">
        <f>VLOOKUP($A$3:$A$76,'Listing compteurs (2)'!$B$1:$M$107,12,FALSE)</f>
        <v>41718</v>
      </c>
      <c r="D7" s="4" t="e">
        <f>VLOOKUP($A$3:$A$76,'Listing compteurs (2)'!$B$1:$M$107,13,FALSE)</f>
        <v>#REF!</v>
      </c>
      <c r="E7" s="68" t="e">
        <f>IF(VLOOKUP($A$3:$A$76,'Listing compteurs (2)'!$B$1:$M$107,14,FALSE),VLOOKUP($A$3:$A$76,'Listing compteurs (2)'!$B$1:$M$107,14,FALSE),"")</f>
        <v>#REF!</v>
      </c>
    </row>
    <row r="8" spans="1:6" x14ac:dyDescent="0.25">
      <c r="A8" s="4" t="s">
        <v>61</v>
      </c>
      <c r="B8" s="67" t="str">
        <f>VLOOKUP(A8,'Listing compteurs (2)'!B:C,2,FALSE)</f>
        <v>C5.4</v>
      </c>
      <c r="C8" s="4">
        <f>VLOOKUP($A$3:$A$76,'Listing compteurs (2)'!$B$1:$M$107,12,FALSE)</f>
        <v>0</v>
      </c>
      <c r="D8" s="4" t="e">
        <f>VLOOKUP($A$3:$A$76,'Listing compteurs (2)'!$B$1:$M$107,13,FALSE)</f>
        <v>#REF!</v>
      </c>
      <c r="E8" s="68" t="e">
        <f>IF(VLOOKUP($A$3:$A$76,'Listing compteurs (2)'!$B$1:$M$107,14,FALSE),VLOOKUP($A$3:$A$76,'Listing compteurs (2)'!$B$1:$M$107,14,FALSE),"")</f>
        <v>#REF!</v>
      </c>
    </row>
    <row r="9" spans="1:6" x14ac:dyDescent="0.25">
      <c r="A9" s="4" t="s">
        <v>62</v>
      </c>
      <c r="B9" s="67" t="str">
        <f>VLOOKUP(A9,'Listing compteurs (2)'!B:C,2,FALSE)</f>
        <v>C5.2</v>
      </c>
      <c r="C9" s="4">
        <f>VLOOKUP($A$3:$A$76,'Listing compteurs (2)'!$B$1:$M$107,12,FALSE)</f>
        <v>41718</v>
      </c>
      <c r="D9" s="4" t="e">
        <f>VLOOKUP($A$3:$A$76,'Listing compteurs (2)'!$B$1:$M$107,13,FALSE)</f>
        <v>#REF!</v>
      </c>
      <c r="E9" s="68" t="e">
        <f>IF(VLOOKUP($A$3:$A$76,'Listing compteurs (2)'!$B$1:$M$107,14,FALSE),VLOOKUP($A$3:$A$76,'Listing compteurs (2)'!$B$1:$M$107,14,FALSE),"")</f>
        <v>#REF!</v>
      </c>
    </row>
    <row r="10" spans="1:6" x14ac:dyDescent="0.25">
      <c r="A10" s="4" t="s">
        <v>63</v>
      </c>
      <c r="B10" s="67" t="str">
        <f>VLOOKUP(A10,'Listing compteurs (2)'!B:C,2,FALSE)</f>
        <v>C5.2</v>
      </c>
      <c r="C10" s="4">
        <f>VLOOKUP($A$3:$A$76,'Listing compteurs (2)'!$B$1:$M$107,12,FALSE)</f>
        <v>41718</v>
      </c>
      <c r="D10" s="4" t="e">
        <f>VLOOKUP($A$3:$A$76,'Listing compteurs (2)'!$B$1:$M$107,13,FALSE)</f>
        <v>#REF!</v>
      </c>
      <c r="E10" s="68" t="e">
        <f>IF(VLOOKUP($A$3:$A$76,'Listing compteurs (2)'!$B$1:$M$107,14,FALSE),VLOOKUP($A$3:$A$76,'Listing compteurs (2)'!$B$1:$M$107,14,FALSE),"")</f>
        <v>#REF!</v>
      </c>
    </row>
    <row r="11" spans="1:6" x14ac:dyDescent="0.25">
      <c r="A11" s="4" t="s">
        <v>0</v>
      </c>
      <c r="B11" s="67" t="str">
        <f>VLOOKUP(A11,'Listing compteurs (2)'!B:C,2,FALSE)</f>
        <v>C13</v>
      </c>
      <c r="C11" s="4">
        <f>VLOOKUP($A$3:$A$76,'Listing compteurs (2)'!$B$1:$M$107,12,FALSE)</f>
        <v>0</v>
      </c>
      <c r="D11" s="4" t="e">
        <f>VLOOKUP($A$3:$A$76,'Listing compteurs (2)'!$B$1:$M$107,13,FALSE)</f>
        <v>#REF!</v>
      </c>
      <c r="E11" s="68" t="e">
        <f>IF(VLOOKUP($A$3:$A$76,'Listing compteurs (2)'!$B$1:$M$107,14,FALSE),VLOOKUP($A$3:$A$76,'Listing compteurs (2)'!$B$1:$M$107,14,FALSE),"")</f>
        <v>#REF!</v>
      </c>
    </row>
    <row r="12" spans="1:6" x14ac:dyDescent="0.25">
      <c r="A12" s="4" t="s">
        <v>1</v>
      </c>
      <c r="B12" s="67" t="str">
        <f>VLOOKUP(A12,'Listing compteurs (2)'!B:C,2,FALSE)</f>
        <v>C12.13</v>
      </c>
      <c r="C12" s="4">
        <f>VLOOKUP($A$3:$A$76,'Listing compteurs (2)'!$B$1:$M$107,12,FALSE)</f>
        <v>0</v>
      </c>
      <c r="D12" s="4" t="e">
        <f>VLOOKUP($A$3:$A$76,'Listing compteurs (2)'!$B$1:$M$107,13,FALSE)</f>
        <v>#REF!</v>
      </c>
      <c r="E12" s="68" t="e">
        <f>IF(VLOOKUP($A$3:$A$76,'Listing compteurs (2)'!$B$1:$M$107,14,FALSE),VLOOKUP($A$3:$A$76,'Listing compteurs (2)'!$B$1:$M$107,14,FALSE),"")</f>
        <v>#REF!</v>
      </c>
    </row>
    <row r="13" spans="1:6" x14ac:dyDescent="0.25">
      <c r="A13" s="4" t="s">
        <v>176</v>
      </c>
      <c r="B13" s="67" t="str">
        <f>VLOOKUP(A13,'Listing compteurs (2)'!B:C,2,FALSE)</f>
        <v>C12.9</v>
      </c>
      <c r="C13" s="4">
        <f>VLOOKUP($A$3:$A$76,'Listing compteurs (2)'!$B$1:$M$107,12,FALSE)</f>
        <v>41947</v>
      </c>
      <c r="D13" s="4" t="e">
        <f>VLOOKUP($A$3:$A$76,'Listing compteurs (2)'!$B$1:$M$107,13,FALSE)</f>
        <v>#REF!</v>
      </c>
      <c r="E13" s="68" t="e">
        <f>IF(VLOOKUP($A$3:$A$76,'Listing compteurs (2)'!$B$1:$M$107,14,FALSE),VLOOKUP($A$3:$A$76,'Listing compteurs (2)'!$B$1:$M$107,14,FALSE),"")</f>
        <v>#REF!</v>
      </c>
    </row>
    <row r="14" spans="1:6" x14ac:dyDescent="0.25">
      <c r="A14" s="4" t="s">
        <v>2</v>
      </c>
      <c r="B14" s="67" t="str">
        <f>VLOOKUP(A14,'Listing compteurs (2)'!B:C,2,FALSE)</f>
        <v>C12.1</v>
      </c>
      <c r="C14" s="4">
        <f>VLOOKUP($A$3:$A$76,'Listing compteurs (2)'!$B$1:$M$107,12,FALSE)</f>
        <v>0</v>
      </c>
      <c r="D14" s="4" t="e">
        <f>VLOOKUP($A$3:$A$76,'Listing compteurs (2)'!$B$1:$M$107,13,FALSE)</f>
        <v>#REF!</v>
      </c>
      <c r="E14" s="68" t="e">
        <f>IF(VLOOKUP($A$3:$A$76,'Listing compteurs (2)'!$B$1:$M$107,14,FALSE),VLOOKUP($A$3:$A$76,'Listing compteurs (2)'!$B$1:$M$107,14,FALSE),"")</f>
        <v>#REF!</v>
      </c>
    </row>
    <row r="15" spans="1:6" x14ac:dyDescent="0.25">
      <c r="A15" s="4" t="s">
        <v>195</v>
      </c>
      <c r="B15" s="67" t="str">
        <f>VLOOKUP(A15,'Listing compteurs (2)'!B:C,2,FALSE)</f>
        <v>C12.10</v>
      </c>
      <c r="C15" s="4">
        <f>VLOOKUP($A$3:$A$76,'Listing compteurs (2)'!$B$1:$M$107,12,FALSE)</f>
        <v>0</v>
      </c>
      <c r="D15" s="4" t="e">
        <f>VLOOKUP($A$3:$A$76,'Listing compteurs (2)'!$B$1:$M$107,13,FALSE)</f>
        <v>#REF!</v>
      </c>
      <c r="E15" s="68" t="e">
        <f>IF(VLOOKUP($A$3:$A$76,'Listing compteurs (2)'!$B$1:$M$107,14,FALSE),VLOOKUP($A$3:$A$76,'Listing compteurs (2)'!$B$1:$M$107,14,FALSE),"")</f>
        <v>#REF!</v>
      </c>
    </row>
    <row r="16" spans="1:6" x14ac:dyDescent="0.25">
      <c r="A16" s="13" t="s">
        <v>5</v>
      </c>
      <c r="B16" s="67" t="str">
        <f>VLOOKUP(A16,'Listing compteurs (2)'!B:C,2,FALSE)</f>
        <v>C13.1</v>
      </c>
      <c r="C16" s="4">
        <f>VLOOKUP($A$3:$A$76,'Listing compteurs (2)'!$B$1:$M$107,12,FALSE)</f>
        <v>0</v>
      </c>
      <c r="D16" s="4" t="e">
        <f>VLOOKUP($A$3:$A$76,'Listing compteurs (2)'!$B$1:$M$107,13,FALSE)</f>
        <v>#REF!</v>
      </c>
      <c r="E16" s="68" t="e">
        <f>IF(VLOOKUP($A$3:$A$76,'Listing compteurs (2)'!$B$1:$M$107,14,FALSE),VLOOKUP($A$3:$A$76,'Listing compteurs (2)'!$B$1:$M$107,14,FALSE),"")</f>
        <v>#REF!</v>
      </c>
    </row>
    <row r="17" spans="1:5" x14ac:dyDescent="0.25">
      <c r="A17" s="4" t="s">
        <v>6</v>
      </c>
      <c r="B17" s="67" t="str">
        <f>VLOOKUP(A17,'Listing compteurs (2)'!B:C,2,FALSE)</f>
        <v>C12.2</v>
      </c>
      <c r="C17" s="4">
        <f>VLOOKUP($A$3:$A$76,'Listing compteurs (2)'!$B$1:$M$107,12,FALSE)</f>
        <v>0</v>
      </c>
      <c r="D17" s="4" t="e">
        <f>VLOOKUP($A$3:$A$76,'Listing compteurs (2)'!$B$1:$M$107,13,FALSE)</f>
        <v>#REF!</v>
      </c>
      <c r="E17" s="68" t="e">
        <f>IF(VLOOKUP($A$3:$A$76,'Listing compteurs (2)'!$B$1:$M$107,14,FALSE),VLOOKUP($A$3:$A$76,'Listing compteurs (2)'!$B$1:$M$107,14,FALSE),"")</f>
        <v>#REF!</v>
      </c>
    </row>
    <row r="18" spans="1:5" x14ac:dyDescent="0.25">
      <c r="A18" s="4" t="s">
        <v>7</v>
      </c>
      <c r="B18" s="67" t="str">
        <f>VLOOKUP(A18,'Listing compteurs (2)'!B:C,2,FALSE)</f>
        <v>C12.7</v>
      </c>
      <c r="C18" s="4">
        <f>VLOOKUP($A$3:$A$76,'Listing compteurs (2)'!$B$1:$M$107,12,FALSE)</f>
        <v>41718</v>
      </c>
      <c r="D18" s="4" t="e">
        <f>VLOOKUP($A$3:$A$76,'Listing compteurs (2)'!$B$1:$M$107,13,FALSE)</f>
        <v>#REF!</v>
      </c>
      <c r="E18" s="68" t="e">
        <f>IF(VLOOKUP($A$3:$A$76,'Listing compteurs (2)'!$B$1:$M$107,14,FALSE),VLOOKUP($A$3:$A$76,'Listing compteurs (2)'!$B$1:$M$107,14,FALSE),"")</f>
        <v>#REF!</v>
      </c>
    </row>
    <row r="19" spans="1:5" x14ac:dyDescent="0.25">
      <c r="A19" s="4" t="s">
        <v>177</v>
      </c>
      <c r="B19" s="67" t="str">
        <f>VLOOKUP(A19,'Listing compteurs (2)'!B:C,2,FALSE)</f>
        <v>C12.11</v>
      </c>
      <c r="C19" s="4">
        <f>VLOOKUP($A$3:$A$76,'Listing compteurs (2)'!$B$1:$M$107,12,FALSE)</f>
        <v>0</v>
      </c>
      <c r="D19" s="4" t="e">
        <f>VLOOKUP($A$3:$A$76,'Listing compteurs (2)'!$B$1:$M$107,13,FALSE)</f>
        <v>#REF!</v>
      </c>
      <c r="E19" s="68" t="e">
        <f>IF(VLOOKUP($A$3:$A$76,'Listing compteurs (2)'!$B$1:$M$107,14,FALSE),VLOOKUP($A$3:$A$76,'Listing compteurs (2)'!$B$1:$M$107,14,FALSE),"")</f>
        <v>#REF!</v>
      </c>
    </row>
    <row r="20" spans="1:5" x14ac:dyDescent="0.25">
      <c r="A20" s="4" t="s">
        <v>10</v>
      </c>
      <c r="B20" s="67" t="str">
        <f>VLOOKUP(A20,'Listing compteurs (2)'!B:C,2,FALSE)</f>
        <v>C12.13</v>
      </c>
      <c r="C20" s="4">
        <f>VLOOKUP($A$3:$A$76,'Listing compteurs (2)'!$B$1:$M$107,12,FALSE)</f>
        <v>0</v>
      </c>
      <c r="D20" s="4" t="e">
        <f>VLOOKUP($A$3:$A$76,'Listing compteurs (2)'!$B$1:$M$107,13,FALSE)</f>
        <v>#REF!</v>
      </c>
      <c r="E20" s="68" t="e">
        <f>IF(VLOOKUP($A$3:$A$76,'Listing compteurs (2)'!$B$1:$M$107,14,FALSE),VLOOKUP($A$3:$A$76,'Listing compteurs (2)'!$B$1:$M$107,14,FALSE),"")</f>
        <v>#REF!</v>
      </c>
    </row>
    <row r="21" spans="1:5" x14ac:dyDescent="0.25">
      <c r="A21" s="4" t="s">
        <v>11</v>
      </c>
      <c r="B21" s="67" t="str">
        <f>VLOOKUP(A21,'Listing compteurs (2)'!B:C,2,FALSE)</f>
        <v>C12.8</v>
      </c>
      <c r="C21" s="4">
        <f>VLOOKUP($A$3:$A$76,'Listing compteurs (2)'!$B$1:$M$107,12,FALSE)</f>
        <v>0</v>
      </c>
      <c r="D21" s="4" t="e">
        <f>VLOOKUP($A$3:$A$76,'Listing compteurs (2)'!$B$1:$M$107,13,FALSE)</f>
        <v>#REF!</v>
      </c>
      <c r="E21" s="68" t="e">
        <f>IF(VLOOKUP($A$3:$A$76,'Listing compteurs (2)'!$B$1:$M$107,14,FALSE),VLOOKUP($A$3:$A$76,'Listing compteurs (2)'!$B$1:$M$107,14,FALSE),"")</f>
        <v>#REF!</v>
      </c>
    </row>
    <row r="22" spans="1:5" x14ac:dyDescent="0.25">
      <c r="A22" s="4" t="s">
        <v>12</v>
      </c>
      <c r="B22" s="67" t="str">
        <f>VLOOKUP(A22,'Listing compteurs (2)'!B:C,2,FALSE)</f>
        <v>C12.6</v>
      </c>
      <c r="C22" s="4">
        <f>VLOOKUP($A$3:$A$76,'Listing compteurs (2)'!$B$1:$M$107,12,FALSE)</f>
        <v>0</v>
      </c>
      <c r="D22" s="4" t="e">
        <f>VLOOKUP($A$3:$A$76,'Listing compteurs (2)'!$B$1:$M$107,13,FALSE)</f>
        <v>#REF!</v>
      </c>
      <c r="E22" s="68" t="e">
        <f>IF(VLOOKUP($A$3:$A$76,'Listing compteurs (2)'!$B$1:$M$107,14,FALSE),VLOOKUP($A$3:$A$76,'Listing compteurs (2)'!$B$1:$M$107,14,FALSE),"")</f>
        <v>#REF!</v>
      </c>
    </row>
    <row r="23" spans="1:5" x14ac:dyDescent="0.25">
      <c r="A23" s="4" t="s">
        <v>13</v>
      </c>
      <c r="B23" s="67" t="str">
        <f>VLOOKUP(A23,'Listing compteurs (2)'!B:C,2,FALSE)</f>
        <v>C12.4</v>
      </c>
      <c r="C23" s="4">
        <f>VLOOKUP($A$3:$A$76,'Listing compteurs (2)'!$B$1:$M$107,12,FALSE)</f>
        <v>0</v>
      </c>
      <c r="D23" s="4" t="e">
        <f>VLOOKUP($A$3:$A$76,'Listing compteurs (2)'!$B$1:$M$107,13,FALSE)</f>
        <v>#REF!</v>
      </c>
      <c r="E23" s="68" t="e">
        <f>IF(VLOOKUP($A$3:$A$76,'Listing compteurs (2)'!$B$1:$M$107,14,FALSE),VLOOKUP($A$3:$A$76,'Listing compteurs (2)'!$B$1:$M$107,14,FALSE),"")</f>
        <v>#REF!</v>
      </c>
    </row>
    <row r="24" spans="1:5" x14ac:dyDescent="0.25">
      <c r="A24" s="4" t="s">
        <v>14</v>
      </c>
      <c r="B24" s="67" t="str">
        <f>VLOOKUP(A24,'Listing compteurs (2)'!B:C,2,FALSE)</f>
        <v>C12.5</v>
      </c>
      <c r="C24" s="4">
        <f>VLOOKUP($A$3:$A$76,'Listing compteurs (2)'!$B$1:$M$107,12,FALSE)</f>
        <v>41529</v>
      </c>
      <c r="D24" s="4" t="e">
        <f>VLOOKUP($A$3:$A$76,'Listing compteurs (2)'!$B$1:$M$107,13,FALSE)</f>
        <v>#REF!</v>
      </c>
      <c r="E24" s="68" t="e">
        <f>IF(VLOOKUP($A$3:$A$76,'Listing compteurs (2)'!$B$1:$M$107,14,FALSE),VLOOKUP($A$3:$A$76,'Listing compteurs (2)'!$B$1:$M$107,14,FALSE),"")</f>
        <v>#REF!</v>
      </c>
    </row>
    <row r="25" spans="1:5" x14ac:dyDescent="0.25">
      <c r="A25" s="4" t="s">
        <v>15</v>
      </c>
      <c r="B25" s="67" t="str">
        <f>VLOOKUP(A25,'Listing compteurs (2)'!B:C,2,FALSE)</f>
        <v>C8.12</v>
      </c>
      <c r="C25" s="4">
        <f>VLOOKUP($A$3:$A$76,'Listing compteurs (2)'!$B$1:$M$107,12,FALSE)</f>
        <v>0</v>
      </c>
      <c r="D25" s="4" t="e">
        <f>VLOOKUP($A$3:$A$76,'Listing compteurs (2)'!$B$1:$M$107,13,FALSE)</f>
        <v>#REF!</v>
      </c>
      <c r="E25" s="68" t="e">
        <f>IF(VLOOKUP($A$3:$A$76,'Listing compteurs (2)'!$B$1:$M$107,14,FALSE),VLOOKUP($A$3:$A$76,'Listing compteurs (2)'!$B$1:$M$107,14,FALSE),"")</f>
        <v>#REF!</v>
      </c>
    </row>
    <row r="26" spans="1:5" x14ac:dyDescent="0.25">
      <c r="A26" s="4" t="s">
        <v>16</v>
      </c>
      <c r="B26" s="67" t="str">
        <f>VLOOKUP(A26,'Listing compteurs (2)'!B:C,2,FALSE)</f>
        <v>C8.11</v>
      </c>
      <c r="C26" s="4">
        <f>VLOOKUP($A$3:$A$76,'Listing compteurs (2)'!$B$1:$M$107,12,FALSE)</f>
        <v>0</v>
      </c>
      <c r="D26" s="4" t="e">
        <f>VLOOKUP($A$3:$A$76,'Listing compteurs (2)'!$B$1:$M$107,13,FALSE)</f>
        <v>#REF!</v>
      </c>
      <c r="E26" s="68" t="e">
        <f>IF(VLOOKUP($A$3:$A$76,'Listing compteurs (2)'!$B$1:$M$107,14,FALSE),VLOOKUP($A$3:$A$76,'Listing compteurs (2)'!$B$1:$M$107,14,FALSE),"")</f>
        <v>#REF!</v>
      </c>
    </row>
    <row r="27" spans="1:5" x14ac:dyDescent="0.25">
      <c r="A27" s="4" t="s">
        <v>17</v>
      </c>
      <c r="B27" s="67" t="str">
        <f>VLOOKUP(A27,'Listing compteurs (2)'!B:C,2,FALSE)</f>
        <v>C8.8</v>
      </c>
      <c r="C27" s="4">
        <f>VLOOKUP($A$3:$A$76,'Listing compteurs (2)'!$B$1:$M$107,12,FALSE)</f>
        <v>0</v>
      </c>
      <c r="D27" s="4" t="e">
        <f>VLOOKUP($A$3:$A$76,'Listing compteurs (2)'!$B$1:$M$107,13,FALSE)</f>
        <v>#REF!</v>
      </c>
      <c r="E27" s="68" t="e">
        <f>IF(VLOOKUP($A$3:$A$76,'Listing compteurs (2)'!$B$1:$M$107,14,FALSE),VLOOKUP($A$3:$A$76,'Listing compteurs (2)'!$B$1:$M$107,14,FALSE),"")</f>
        <v>#REF!</v>
      </c>
    </row>
    <row r="28" spans="1:5" x14ac:dyDescent="0.25">
      <c r="A28" s="4" t="s">
        <v>47</v>
      </c>
      <c r="B28" s="67" t="str">
        <f>VLOOKUP(A28,'Listing compteurs (2)'!B:C,2,FALSE)</f>
        <v>C1</v>
      </c>
      <c r="C28" s="4">
        <f>VLOOKUP($A$3:$A$76,'Listing compteurs (2)'!$B$1:$M$107,12,FALSE)</f>
        <v>0</v>
      </c>
      <c r="D28" s="4" t="e">
        <f>VLOOKUP($A$3:$A$76,'Listing compteurs (2)'!$B$1:$M$107,13,FALSE)</f>
        <v>#REF!</v>
      </c>
      <c r="E28" s="68" t="e">
        <f>IF(VLOOKUP($A$3:$A$76,'Listing compteurs (2)'!$B$1:$M$107,14,FALSE),VLOOKUP($A$3:$A$76,'Listing compteurs (2)'!$B$1:$M$107,14,FALSE),"")</f>
        <v>#REF!</v>
      </c>
    </row>
    <row r="29" spans="1:5" x14ac:dyDescent="0.25">
      <c r="A29" s="4" t="s">
        <v>48</v>
      </c>
      <c r="B29" s="67" t="str">
        <f>VLOOKUP(A29,'Listing compteurs (2)'!B:C,2,FALSE)</f>
        <v>C5.3</v>
      </c>
      <c r="C29" s="4">
        <f>VLOOKUP($A$3:$A$76,'Listing compteurs (2)'!$B$1:$M$107,12,FALSE)</f>
        <v>0</v>
      </c>
      <c r="D29" s="4" t="e">
        <f>VLOOKUP($A$3:$A$76,'Listing compteurs (2)'!$B$1:$M$107,13,FALSE)</f>
        <v>#REF!</v>
      </c>
      <c r="E29" s="68" t="e">
        <f>IF(VLOOKUP($A$3:$A$76,'Listing compteurs (2)'!$B$1:$M$107,14,FALSE),VLOOKUP($A$3:$A$76,'Listing compteurs (2)'!$B$1:$M$107,14,FALSE),"")</f>
        <v>#REF!</v>
      </c>
    </row>
    <row r="30" spans="1:5" x14ac:dyDescent="0.25">
      <c r="A30" s="4" t="s">
        <v>49</v>
      </c>
      <c r="B30" s="67" t="str">
        <f>VLOOKUP(A30,'Listing compteurs (2)'!B:C,2,FALSE)</f>
        <v>C6.1</v>
      </c>
      <c r="C30" s="4">
        <f>VLOOKUP($A$3:$A$76,'Listing compteurs (2)'!$B$1:$M$107,12,FALSE)</f>
        <v>41947</v>
      </c>
      <c r="D30" s="4" t="e">
        <f>VLOOKUP($A$3:$A$76,'Listing compteurs (2)'!$B$1:$M$107,13,FALSE)</f>
        <v>#REF!</v>
      </c>
      <c r="E30" s="68" t="e">
        <f>IF(VLOOKUP($A$3:$A$76,'Listing compteurs (2)'!$B$1:$M$107,14,FALSE),VLOOKUP($A$3:$A$76,'Listing compteurs (2)'!$B$1:$M$107,14,FALSE),"")</f>
        <v>#REF!</v>
      </c>
    </row>
    <row r="31" spans="1:5" x14ac:dyDescent="0.25">
      <c r="A31" s="4" t="s">
        <v>50</v>
      </c>
      <c r="B31" s="67" t="str">
        <f>VLOOKUP(A31,'Listing compteurs (2)'!B:C,2,FALSE)</f>
        <v>C6.2</v>
      </c>
      <c r="C31" s="4">
        <f>VLOOKUP($A$3:$A$76,'Listing compteurs (2)'!$B$1:$M$107,12,FALSE)</f>
        <v>41947</v>
      </c>
      <c r="D31" s="4" t="e">
        <f>VLOOKUP($A$3:$A$76,'Listing compteurs (2)'!$B$1:$M$107,13,FALSE)</f>
        <v>#REF!</v>
      </c>
      <c r="E31" s="68" t="e">
        <f>IF(VLOOKUP($A$3:$A$76,'Listing compteurs (2)'!$B$1:$M$107,14,FALSE),VLOOKUP($A$3:$A$76,'Listing compteurs (2)'!$B$1:$M$107,14,FALSE),"")</f>
        <v>#REF!</v>
      </c>
    </row>
    <row r="32" spans="1:5" x14ac:dyDescent="0.25">
      <c r="A32" s="4" t="s">
        <v>51</v>
      </c>
      <c r="B32" s="67" t="str">
        <f>VLOOKUP(A32,'Listing compteurs (2)'!B:C,2,FALSE)</f>
        <v>C9</v>
      </c>
      <c r="C32" s="4">
        <f>VLOOKUP($A$3:$A$76,'Listing compteurs (2)'!$B$1:$M$107,12,FALSE)</f>
        <v>0</v>
      </c>
      <c r="D32" s="4" t="e">
        <f>VLOOKUP($A$3:$A$76,'Listing compteurs (2)'!$B$1:$M$107,13,FALSE)</f>
        <v>#REF!</v>
      </c>
      <c r="E32" s="68" t="e">
        <f>IF(VLOOKUP($A$3:$A$76,'Listing compteurs (2)'!$B$1:$M$107,14,FALSE),VLOOKUP($A$3:$A$76,'Listing compteurs (2)'!$B$1:$M$107,14,FALSE),"")</f>
        <v>#REF!</v>
      </c>
    </row>
    <row r="33" spans="1:5" x14ac:dyDescent="0.25">
      <c r="A33" s="4" t="s">
        <v>52</v>
      </c>
      <c r="B33" s="67" t="str">
        <f>VLOOKUP(A33,'Listing compteurs (2)'!B:C,2,FALSE)</f>
        <v>C10.5</v>
      </c>
      <c r="C33" s="4">
        <f>VLOOKUP($A$3:$A$76,'Listing compteurs (2)'!$B$1:$M$107,12,FALSE)</f>
        <v>0</v>
      </c>
      <c r="D33" s="4" t="e">
        <f>VLOOKUP($A$3:$A$76,'Listing compteurs (2)'!$B$1:$M$107,13,FALSE)</f>
        <v>#REF!</v>
      </c>
      <c r="E33" s="68" t="e">
        <f>IF(VLOOKUP($A$3:$A$76,'Listing compteurs (2)'!$B$1:$M$107,14,FALSE),VLOOKUP($A$3:$A$76,'Listing compteurs (2)'!$B$1:$M$107,14,FALSE),"")</f>
        <v>#REF!</v>
      </c>
    </row>
    <row r="34" spans="1:5" x14ac:dyDescent="0.25">
      <c r="A34" s="4" t="s">
        <v>53</v>
      </c>
      <c r="B34" s="67" t="str">
        <f>VLOOKUP(A34,'Listing compteurs (2)'!B:C,2,FALSE)</f>
        <v>C10.1</v>
      </c>
      <c r="C34" s="4">
        <f>VLOOKUP($A$3:$A$76,'Listing compteurs (2)'!$B$1:$M$107,12,FALSE)</f>
        <v>41718</v>
      </c>
      <c r="D34" s="4" t="e">
        <f>VLOOKUP($A$3:$A$76,'Listing compteurs (2)'!$B$1:$M$107,13,FALSE)</f>
        <v>#REF!</v>
      </c>
      <c r="E34" s="68" t="e">
        <f>IF(VLOOKUP($A$3:$A$76,'Listing compteurs (2)'!$B$1:$M$107,14,FALSE),VLOOKUP($A$3:$A$76,'Listing compteurs (2)'!$B$1:$M$107,14,FALSE),"")</f>
        <v>#REF!</v>
      </c>
    </row>
    <row r="35" spans="1:5" x14ac:dyDescent="0.25">
      <c r="A35" s="4" t="s">
        <v>54</v>
      </c>
      <c r="B35" s="67" t="str">
        <f>VLOOKUP(A35,'Listing compteurs (2)'!B:C,2,FALSE)</f>
        <v>C10.2</v>
      </c>
      <c r="C35" s="4">
        <f>VLOOKUP($A$3:$A$76,'Listing compteurs (2)'!$B$1:$M$107,12,FALSE)</f>
        <v>0</v>
      </c>
      <c r="D35" s="4" t="e">
        <f>VLOOKUP($A$3:$A$76,'Listing compteurs (2)'!$B$1:$M$107,13,FALSE)</f>
        <v>#REF!</v>
      </c>
      <c r="E35" s="68" t="e">
        <f>IF(VLOOKUP($A$3:$A$76,'Listing compteurs (2)'!$B$1:$M$107,14,FALSE),VLOOKUP($A$3:$A$76,'Listing compteurs (2)'!$B$1:$M$107,14,FALSE),"")</f>
        <v>#REF!</v>
      </c>
    </row>
    <row r="36" spans="1:5" x14ac:dyDescent="0.25">
      <c r="A36" s="4" t="s">
        <v>55</v>
      </c>
      <c r="B36" s="67" t="str">
        <f>VLOOKUP(A36,'Listing compteurs (2)'!B:C,2,FALSE)</f>
        <v>C10.3</v>
      </c>
      <c r="C36" s="4">
        <f>VLOOKUP($A$3:$A$76,'Listing compteurs (2)'!$B$1:$M$107,12,FALSE)</f>
        <v>0</v>
      </c>
      <c r="D36" s="4" t="e">
        <f>VLOOKUP($A$3:$A$76,'Listing compteurs (2)'!$B$1:$M$107,13,FALSE)</f>
        <v>#REF!</v>
      </c>
      <c r="E36" s="68" t="e">
        <f>IF(VLOOKUP($A$3:$A$76,'Listing compteurs (2)'!$B$1:$M$107,14,FALSE),VLOOKUP($A$3:$A$76,'Listing compteurs (2)'!$B$1:$M$107,14,FALSE),"")</f>
        <v>#REF!</v>
      </c>
    </row>
    <row r="37" spans="1:5" x14ac:dyDescent="0.25">
      <c r="A37" s="4" t="s">
        <v>40</v>
      </c>
      <c r="B37" s="67" t="str">
        <f>VLOOKUP(A37,'Listing compteurs (2)'!B:C,2,FALSE)</f>
        <v>C4</v>
      </c>
      <c r="C37" s="4">
        <f>VLOOKUP($A$3:$A$76,'Listing compteurs (2)'!$B$1:$M$107,12,FALSE)</f>
        <v>41319</v>
      </c>
      <c r="D37" s="4" t="e">
        <f>VLOOKUP($A$3:$A$76,'Listing compteurs (2)'!$B$1:$M$107,13,FALSE)</f>
        <v>#REF!</v>
      </c>
      <c r="E37" s="68" t="e">
        <f>IF(VLOOKUP($A$3:$A$76,'Listing compteurs (2)'!$B$1:$M$107,14,FALSE),VLOOKUP($A$3:$A$76,'Listing compteurs (2)'!$B$1:$M$107,14,FALSE),"")</f>
        <v>#REF!</v>
      </c>
    </row>
    <row r="38" spans="1:5" x14ac:dyDescent="0.25">
      <c r="A38" s="4" t="s">
        <v>41</v>
      </c>
      <c r="B38" s="67" t="str">
        <f>VLOOKUP(A38,'Listing compteurs (2)'!B:C,2,FALSE)</f>
        <v>C3</v>
      </c>
      <c r="C38" s="4">
        <f>VLOOKUP($A$3:$A$76,'Listing compteurs (2)'!$B$1:$M$107,12,FALSE)</f>
        <v>41340</v>
      </c>
      <c r="D38" s="4" t="e">
        <f>VLOOKUP($A$3:$A$76,'Listing compteurs (2)'!$B$1:$M$107,13,FALSE)</f>
        <v>#REF!</v>
      </c>
      <c r="E38" s="68" t="e">
        <f>IF(VLOOKUP($A$3:$A$76,'Listing compteurs (2)'!$B$1:$M$107,14,FALSE),VLOOKUP($A$3:$A$76,'Listing compteurs (2)'!$B$1:$M$107,14,FALSE),"")</f>
        <v>#REF!</v>
      </c>
    </row>
    <row r="39" spans="1:5" x14ac:dyDescent="0.25">
      <c r="A39" s="4" t="s">
        <v>42</v>
      </c>
      <c r="B39" s="67" t="str">
        <f>VLOOKUP(A39,'Listing compteurs (2)'!B:C,2,FALSE)</f>
        <v>C3</v>
      </c>
      <c r="C39" s="4">
        <f>VLOOKUP($A$3:$A$76,'Listing compteurs (2)'!$B$1:$M$107,12,FALSE)</f>
        <v>41340</v>
      </c>
      <c r="D39" s="4" t="e">
        <f>VLOOKUP($A$3:$A$76,'Listing compteurs (2)'!$B$1:$M$107,13,FALSE)</f>
        <v>#REF!</v>
      </c>
      <c r="E39" s="68" t="e">
        <f>IF(VLOOKUP($A$3:$A$76,'Listing compteurs (2)'!$B$1:$M$107,14,FALSE),VLOOKUP($A$3:$A$76,'Listing compteurs (2)'!$B$1:$M$107,14,FALSE),"")</f>
        <v>#REF!</v>
      </c>
    </row>
    <row r="40" spans="1:5" x14ac:dyDescent="0.25">
      <c r="A40" s="4" t="s">
        <v>43</v>
      </c>
      <c r="B40" s="67" t="str">
        <f>VLOOKUP(A40,'Listing compteurs (2)'!B:C,2,FALSE)</f>
        <v>C4.2</v>
      </c>
      <c r="C40" s="4">
        <f>VLOOKUP($A$3:$A$76,'Listing compteurs (2)'!$B$1:$M$107,12,FALSE)</f>
        <v>0</v>
      </c>
      <c r="D40" s="4" t="e">
        <f>VLOOKUP($A$3:$A$76,'Listing compteurs (2)'!$B$1:$M$107,13,FALSE)</f>
        <v>#REF!</v>
      </c>
      <c r="E40" s="68" t="e">
        <f>IF(VLOOKUP($A$3:$A$76,'Listing compteurs (2)'!$B$1:$M$107,14,FALSE),VLOOKUP($A$3:$A$76,'Listing compteurs (2)'!$B$1:$M$107,14,FALSE),"")</f>
        <v>#REF!</v>
      </c>
    </row>
    <row r="41" spans="1:5" x14ac:dyDescent="0.25">
      <c r="A41" s="4" t="s">
        <v>44</v>
      </c>
      <c r="B41" s="67" t="str">
        <f>VLOOKUP(A41,'Listing compteurs (2)'!B:C,2,FALSE)</f>
        <v>C4.1</v>
      </c>
      <c r="C41" s="4">
        <f>VLOOKUP($A$3:$A$76,'Listing compteurs (2)'!$B$1:$M$107,12,FALSE)</f>
        <v>0</v>
      </c>
      <c r="D41" s="4" t="e">
        <f>VLOOKUP($A$3:$A$76,'Listing compteurs (2)'!$B$1:$M$107,13,FALSE)</f>
        <v>#REF!</v>
      </c>
      <c r="E41" s="68" t="e">
        <f>IF(VLOOKUP($A$3:$A$76,'Listing compteurs (2)'!$B$1:$M$107,14,FALSE),VLOOKUP($A$3:$A$76,'Listing compteurs (2)'!$B$1:$M$107,14,FALSE),"")</f>
        <v>#REF!</v>
      </c>
    </row>
    <row r="42" spans="1:5" x14ac:dyDescent="0.25">
      <c r="A42" s="4" t="s">
        <v>45</v>
      </c>
      <c r="B42" s="67" t="str">
        <f>VLOOKUP(A42,'Listing compteurs (2)'!B:C,2,FALSE)</f>
        <v>C3</v>
      </c>
      <c r="C42" s="4">
        <f>VLOOKUP($A$3:$A$76,'Listing compteurs (2)'!$B$1:$M$107,12,FALSE)</f>
        <v>41529</v>
      </c>
      <c r="D42" s="4" t="e">
        <f>VLOOKUP($A$3:$A$76,'Listing compteurs (2)'!$B$1:$M$107,13,FALSE)</f>
        <v>#REF!</v>
      </c>
      <c r="E42" s="68" t="e">
        <f>IF(VLOOKUP($A$3:$A$76,'Listing compteurs (2)'!$B$1:$M$107,14,FALSE),VLOOKUP($A$3:$A$76,'Listing compteurs (2)'!$B$1:$M$107,14,FALSE),"")</f>
        <v>#REF!</v>
      </c>
    </row>
    <row r="43" spans="1:5" x14ac:dyDescent="0.25">
      <c r="A43" s="4" t="s">
        <v>46</v>
      </c>
      <c r="B43" s="67" t="str">
        <f>VLOOKUP(A43,'Listing compteurs (2)'!B:C,2,FALSE)</f>
        <v>C4.3</v>
      </c>
      <c r="C43" s="4">
        <f>VLOOKUP($A$3:$A$76,'Listing compteurs (2)'!$B$1:$M$107,12,FALSE)</f>
        <v>0</v>
      </c>
      <c r="D43" s="4" t="e">
        <f>VLOOKUP($A$3:$A$76,'Listing compteurs (2)'!$B$1:$M$107,13,FALSE)</f>
        <v>#REF!</v>
      </c>
      <c r="E43" s="68" t="e">
        <f>IF(VLOOKUP($A$3:$A$76,'Listing compteurs (2)'!$B$1:$M$107,14,FALSE),VLOOKUP($A$3:$A$76,'Listing compteurs (2)'!$B$1:$M$107,14,FALSE),"")</f>
        <v>#REF!</v>
      </c>
    </row>
    <row r="44" spans="1:5" x14ac:dyDescent="0.25">
      <c r="A44" s="4" t="s">
        <v>218</v>
      </c>
      <c r="B44" s="67" t="str">
        <f>VLOOKUP(A44,'Listing compteurs (2)'!B:C,2,FALSE)</f>
        <v>C4.5</v>
      </c>
      <c r="C44" s="4">
        <f>VLOOKUP($A$3:$A$76,'Listing compteurs (2)'!$B$1:$M$107,12,FALSE)</f>
        <v>0</v>
      </c>
      <c r="D44" s="4" t="e">
        <f>VLOOKUP($A$3:$A$76,'Listing compteurs (2)'!$B$1:$M$107,13,FALSE)</f>
        <v>#REF!</v>
      </c>
      <c r="E44" s="68" t="e">
        <f>IF(VLOOKUP($A$3:$A$76,'Listing compteurs (2)'!$B$1:$M$107,14,FALSE),VLOOKUP($A$3:$A$76,'Listing compteurs (2)'!$B$1:$M$107,14,FALSE),"")</f>
        <v>#REF!</v>
      </c>
    </row>
    <row r="45" spans="1:5" x14ac:dyDescent="0.25">
      <c r="A45" s="4" t="s">
        <v>160</v>
      </c>
      <c r="B45" s="67" t="str">
        <f>VLOOKUP(A45,'Listing compteurs (2)'!B:C,2,FALSE)</f>
        <v>C8.4</v>
      </c>
      <c r="C45" s="4">
        <f>VLOOKUP($A$3:$A$76,'Listing compteurs (2)'!$B$1:$M$107,12,FALSE)</f>
        <v>0</v>
      </c>
      <c r="D45" s="4" t="e">
        <f>VLOOKUP($A$3:$A$76,'Listing compteurs (2)'!$B$1:$M$107,13,FALSE)</f>
        <v>#REF!</v>
      </c>
      <c r="E45" s="68" t="e">
        <f>IF(VLOOKUP($A$3:$A$76,'Listing compteurs (2)'!$B$1:$M$107,14,FALSE),VLOOKUP($A$3:$A$76,'Listing compteurs (2)'!$B$1:$M$107,14,FALSE),"")</f>
        <v>#REF!</v>
      </c>
    </row>
    <row r="46" spans="1:5" x14ac:dyDescent="0.25">
      <c r="A46" s="4" t="s">
        <v>19</v>
      </c>
      <c r="B46" s="67" t="str">
        <f>VLOOKUP(A46,'Listing compteurs (2)'!B:C,2,FALSE)</f>
        <v>C8.1</v>
      </c>
      <c r="C46" s="4">
        <f>VLOOKUP($A$3:$A$76,'Listing compteurs (2)'!$B$1:$M$107,12,FALSE)</f>
        <v>0</v>
      </c>
      <c r="D46" s="4" t="e">
        <f>VLOOKUP($A$3:$A$76,'Listing compteurs (2)'!$B$1:$M$107,13,FALSE)</f>
        <v>#REF!</v>
      </c>
      <c r="E46" s="68" t="e">
        <f>IF(VLOOKUP($A$3:$A$76,'Listing compteurs (2)'!$B$1:$M$107,14,FALSE),VLOOKUP($A$3:$A$76,'Listing compteurs (2)'!$B$1:$M$107,14,FALSE),"")</f>
        <v>#REF!</v>
      </c>
    </row>
    <row r="47" spans="1:5" x14ac:dyDescent="0.25">
      <c r="A47" s="4" t="s">
        <v>20</v>
      </c>
      <c r="B47" s="67" t="str">
        <f>VLOOKUP(A47,'Listing compteurs (2)'!B:C,2,FALSE)</f>
        <v>C8.10</v>
      </c>
      <c r="C47" s="4">
        <f>VLOOKUP($A$3:$A$76,'Listing compteurs (2)'!$B$1:$M$107,12,FALSE)</f>
        <v>0</v>
      </c>
      <c r="D47" s="4" t="e">
        <f>VLOOKUP($A$3:$A$76,'Listing compteurs (2)'!$B$1:$M$107,13,FALSE)</f>
        <v>#REF!</v>
      </c>
      <c r="E47" s="68" t="e">
        <f>IF(VLOOKUP($A$3:$A$76,'Listing compteurs (2)'!$B$1:$M$107,14,FALSE),VLOOKUP($A$3:$A$76,'Listing compteurs (2)'!$B$1:$M$107,14,FALSE),"")</f>
        <v>#REF!</v>
      </c>
    </row>
    <row r="48" spans="1:5" x14ac:dyDescent="0.25">
      <c r="A48" s="4" t="s">
        <v>21</v>
      </c>
      <c r="B48" s="67" t="str">
        <f>VLOOKUP(A48,'Listing compteurs (2)'!B:C,2,FALSE)</f>
        <v>C8.2</v>
      </c>
      <c r="C48" s="4">
        <f>VLOOKUP($A$3:$A$76,'Listing compteurs (2)'!$B$1:$M$107,12,FALSE)</f>
        <v>41718</v>
      </c>
      <c r="D48" s="4" t="e">
        <f>VLOOKUP($A$3:$A$76,'Listing compteurs (2)'!$B$1:$M$107,13,FALSE)</f>
        <v>#REF!</v>
      </c>
      <c r="E48" s="68" t="e">
        <f>IF(VLOOKUP($A$3:$A$76,'Listing compteurs (2)'!$B$1:$M$107,14,FALSE),VLOOKUP($A$3:$A$76,'Listing compteurs (2)'!$B$1:$M$107,14,FALSE),"")</f>
        <v>#REF!</v>
      </c>
    </row>
    <row r="49" spans="1:5" x14ac:dyDescent="0.25">
      <c r="A49" s="4" t="s">
        <v>22</v>
      </c>
      <c r="B49" s="67" t="str">
        <f>VLOOKUP(A49,'Listing compteurs (2)'!B:C,2,FALSE)</f>
        <v>C8.3</v>
      </c>
      <c r="C49" s="4">
        <f>VLOOKUP($A$3:$A$76,'Listing compteurs (2)'!$B$1:$M$107,12,FALSE)</f>
        <v>41718</v>
      </c>
      <c r="D49" s="4" t="e">
        <f>VLOOKUP($A$3:$A$76,'Listing compteurs (2)'!$B$1:$M$107,13,FALSE)</f>
        <v>#REF!</v>
      </c>
      <c r="E49" s="68" t="e">
        <f>IF(VLOOKUP($A$3:$A$76,'Listing compteurs (2)'!$B$1:$M$107,14,FALSE),VLOOKUP($A$3:$A$76,'Listing compteurs (2)'!$B$1:$M$107,14,FALSE),"")</f>
        <v>#REF!</v>
      </c>
    </row>
    <row r="50" spans="1:5" x14ac:dyDescent="0.25">
      <c r="A50" s="4" t="s">
        <v>142</v>
      </c>
      <c r="B50" s="67" t="str">
        <f>VLOOKUP(A50,'Listing compteurs (2)'!B:C,2,FALSE)</f>
        <v>C8.9</v>
      </c>
      <c r="C50" s="4">
        <f>VLOOKUP($A$3:$A$76,'Listing compteurs (2)'!$B$1:$M$107,12,FALSE)</f>
        <v>41947</v>
      </c>
      <c r="D50" s="4" t="e">
        <f>VLOOKUP($A$3:$A$76,'Listing compteurs (2)'!$B$1:$M$107,13,FALSE)</f>
        <v>#REF!</v>
      </c>
      <c r="E50" s="68" t="e">
        <f>IF(VLOOKUP($A$3:$A$76,'Listing compteurs (2)'!$B$1:$M$107,14,FALSE),VLOOKUP($A$3:$A$76,'Listing compteurs (2)'!$B$1:$M$107,14,FALSE),"")</f>
        <v>#REF!</v>
      </c>
    </row>
    <row r="51" spans="1:5" x14ac:dyDescent="0.25">
      <c r="A51" s="4" t="s">
        <v>24</v>
      </c>
      <c r="B51" s="67" t="str">
        <f>VLOOKUP(A51,'Listing compteurs (2)'!B:C,2,FALSE)</f>
        <v>C6.3.1</v>
      </c>
      <c r="C51" s="4">
        <f>VLOOKUP($A$3:$A$76,'Listing compteurs (2)'!$B$1:$M$107,12,FALSE)</f>
        <v>41529</v>
      </c>
      <c r="D51" s="4" t="e">
        <f>VLOOKUP($A$3:$A$76,'Listing compteurs (2)'!$B$1:$M$107,13,FALSE)</f>
        <v>#REF!</v>
      </c>
      <c r="E51" s="68" t="e">
        <f>IF(VLOOKUP($A$3:$A$76,'Listing compteurs (2)'!$B$1:$M$107,14,FALSE),VLOOKUP($A$3:$A$76,'Listing compteurs (2)'!$B$1:$M$107,14,FALSE),"")</f>
        <v>#REF!</v>
      </c>
    </row>
    <row r="52" spans="1:5" x14ac:dyDescent="0.25">
      <c r="A52" s="4" t="s">
        <v>25</v>
      </c>
      <c r="B52" s="67" t="str">
        <f>VLOOKUP(A52,'Listing compteurs (2)'!B:C,2,FALSE)</f>
        <v>C6.3</v>
      </c>
      <c r="C52" s="4">
        <f>VLOOKUP($A$3:$A$76,'Listing compteurs (2)'!$B$1:$M$107,12,FALSE)</f>
        <v>41529</v>
      </c>
      <c r="D52" s="4" t="e">
        <f>VLOOKUP($A$3:$A$76,'Listing compteurs (2)'!$B$1:$M$107,13,FALSE)</f>
        <v>#REF!</v>
      </c>
      <c r="E52" s="68" t="e">
        <f>IF(VLOOKUP($A$3:$A$76,'Listing compteurs (2)'!$B$1:$M$107,14,FALSE),VLOOKUP($A$3:$A$76,'Listing compteurs (2)'!$B$1:$M$107,14,FALSE),"")</f>
        <v>#REF!</v>
      </c>
    </row>
    <row r="53" spans="1:5" x14ac:dyDescent="0.25">
      <c r="A53" s="4" t="s">
        <v>26</v>
      </c>
      <c r="B53" s="67" t="str">
        <f>VLOOKUP(A53,'Listing compteurs (2)'!B:C,2,FALSE)</f>
        <v>C6.4</v>
      </c>
      <c r="C53" s="4">
        <f>VLOOKUP($A$3:$A$76,'Listing compteurs (2)'!$B$1:$M$107,12,FALSE)</f>
        <v>41947</v>
      </c>
      <c r="D53" s="4" t="e">
        <f>VLOOKUP($A$3:$A$76,'Listing compteurs (2)'!$B$1:$M$107,13,FALSE)</f>
        <v>#REF!</v>
      </c>
      <c r="E53" s="68" t="e">
        <f>IF(VLOOKUP($A$3:$A$76,'Listing compteurs (2)'!$B$1:$M$107,14,FALSE),VLOOKUP($A$3:$A$76,'Listing compteurs (2)'!$B$1:$M$107,14,FALSE),"")</f>
        <v>#REF!</v>
      </c>
    </row>
    <row r="54" spans="1:5" x14ac:dyDescent="0.25">
      <c r="A54" s="4" t="s">
        <v>27</v>
      </c>
      <c r="B54" s="67" t="str">
        <f>VLOOKUP(A54,'Listing compteurs (2)'!B:C,2,FALSE)</f>
        <v>C6.6</v>
      </c>
      <c r="C54" s="4">
        <f>VLOOKUP($A$3:$A$76,'Listing compteurs (2)'!$B$1:$M$107,12,FALSE)</f>
        <v>0</v>
      </c>
      <c r="D54" s="4" t="e">
        <f>VLOOKUP($A$3:$A$76,'Listing compteurs (2)'!$B$1:$M$107,13,FALSE)</f>
        <v>#REF!</v>
      </c>
      <c r="E54" s="68" t="e">
        <f>IF(VLOOKUP($A$3:$A$76,'Listing compteurs (2)'!$B$1:$M$107,14,FALSE),VLOOKUP($A$3:$A$76,'Listing compteurs (2)'!$B$1:$M$107,14,FALSE),"")</f>
        <v>#REF!</v>
      </c>
    </row>
    <row r="55" spans="1:5" x14ac:dyDescent="0.25">
      <c r="A55" s="4" t="s">
        <v>28</v>
      </c>
      <c r="B55" s="67" t="str">
        <f>VLOOKUP(A55,'Listing compteurs (2)'!B:C,2,FALSE)</f>
        <v>C6.5</v>
      </c>
      <c r="C55" s="4">
        <f>VLOOKUP($A$3:$A$76,'Listing compteurs (2)'!$B$1:$M$107,12,FALSE)</f>
        <v>0</v>
      </c>
      <c r="D55" s="4" t="e">
        <f>VLOOKUP($A$3:$A$76,'Listing compteurs (2)'!$B$1:$M$107,13,FALSE)</f>
        <v>#REF!</v>
      </c>
      <c r="E55" s="68" t="e">
        <f>IF(VLOOKUP($A$3:$A$76,'Listing compteurs (2)'!$B$1:$M$107,14,FALSE),VLOOKUP($A$3:$A$76,'Listing compteurs (2)'!$B$1:$M$107,14,FALSE),"")</f>
        <v>#REF!</v>
      </c>
    </row>
    <row r="56" spans="1:5" x14ac:dyDescent="0.25">
      <c r="A56" s="4" t="s">
        <v>29</v>
      </c>
      <c r="B56" s="67" t="str">
        <f>VLOOKUP(A56,'Listing compteurs (2)'!B:C,2,FALSE)</f>
        <v>C2.3</v>
      </c>
      <c r="C56" s="4">
        <f>VLOOKUP($A$3:$A$76,'Listing compteurs (2)'!$B$1:$M$107,12,FALSE)</f>
        <v>0</v>
      </c>
      <c r="D56" s="4" t="e">
        <f>VLOOKUP($A$3:$A$76,'Listing compteurs (2)'!$B$1:$M$107,13,FALSE)</f>
        <v>#REF!</v>
      </c>
      <c r="E56" s="68" t="e">
        <f>IF(VLOOKUP($A$3:$A$76,'Listing compteurs (2)'!$B$1:$M$107,14,FALSE),VLOOKUP($A$3:$A$76,'Listing compteurs (2)'!$B$1:$M$107,14,FALSE),"")</f>
        <v>#REF!</v>
      </c>
    </row>
    <row r="57" spans="1:5" x14ac:dyDescent="0.25">
      <c r="A57" s="4" t="s">
        <v>30</v>
      </c>
      <c r="B57" s="67" t="str">
        <f>VLOOKUP(A57,'Listing compteurs (2)'!B:C,2,FALSE)</f>
        <v>C2.2</v>
      </c>
      <c r="C57" s="4">
        <f>VLOOKUP($A$3:$A$76,'Listing compteurs (2)'!$B$1:$M$107,12,FALSE)</f>
        <v>0</v>
      </c>
      <c r="D57" s="4" t="e">
        <f>VLOOKUP($A$3:$A$76,'Listing compteurs (2)'!$B$1:$M$107,13,FALSE)</f>
        <v>#REF!</v>
      </c>
      <c r="E57" s="68" t="e">
        <f>IF(VLOOKUP($A$3:$A$76,'Listing compteurs (2)'!$B$1:$M$107,14,FALSE),VLOOKUP($A$3:$A$76,'Listing compteurs (2)'!$B$1:$M$107,14,FALSE),"")</f>
        <v>#REF!</v>
      </c>
    </row>
    <row r="58" spans="1:5" x14ac:dyDescent="0.25">
      <c r="A58" s="4" t="s">
        <v>33</v>
      </c>
      <c r="B58" s="67" t="str">
        <f>VLOOKUP(A58,'Listing compteurs (2)'!B:C,2,FALSE)</f>
        <v>C2.1.1</v>
      </c>
      <c r="C58" s="4">
        <f>VLOOKUP($A$3:$A$76,'Listing compteurs (2)'!$B$1:$M$107,12,FALSE)</f>
        <v>0</v>
      </c>
      <c r="D58" s="4" t="e">
        <f>VLOOKUP($A$3:$A$76,'Listing compteurs (2)'!$B$1:$M$107,13,FALSE)</f>
        <v>#REF!</v>
      </c>
      <c r="E58" s="68" t="e">
        <f>IF(VLOOKUP($A$3:$A$76,'Listing compteurs (2)'!$B$1:$M$107,14,FALSE),VLOOKUP($A$3:$A$76,'Listing compteurs (2)'!$B$1:$M$107,14,FALSE),"")</f>
        <v>#REF!</v>
      </c>
    </row>
    <row r="59" spans="1:5" x14ac:dyDescent="0.25">
      <c r="A59" s="4" t="s">
        <v>35</v>
      </c>
      <c r="B59" s="67" t="str">
        <f>VLOOKUP(A59,'Listing compteurs (2)'!B:C,2,FALSE)</f>
        <v>C11.1</v>
      </c>
      <c r="C59" s="4">
        <f>VLOOKUP($A$3:$A$76,'Listing compteurs (2)'!$B$1:$M$107,12,FALSE)</f>
        <v>41947</v>
      </c>
      <c r="D59" s="4" t="e">
        <f>VLOOKUP($A$3:$A$76,'Listing compteurs (2)'!$B$1:$M$107,13,FALSE)</f>
        <v>#REF!</v>
      </c>
      <c r="E59" s="68" t="e">
        <f>IF(VLOOKUP($A$3:$A$76,'Listing compteurs (2)'!$B$1:$M$107,14,FALSE),VLOOKUP($A$3:$A$76,'Listing compteurs (2)'!$B$1:$M$107,14,FALSE),"")</f>
        <v>#REF!</v>
      </c>
    </row>
    <row r="60" spans="1:5" x14ac:dyDescent="0.25">
      <c r="A60" s="4" t="s">
        <v>169</v>
      </c>
      <c r="B60" s="67" t="str">
        <f>VLOOKUP(A60,'Listing compteurs (2)'!B:C,2,FALSE)</f>
        <v>C11.2</v>
      </c>
      <c r="C60" s="4">
        <f>VLOOKUP($A$3:$A$76,'Listing compteurs (2)'!$B$1:$M$107,12,FALSE)</f>
        <v>0</v>
      </c>
      <c r="D60" s="4" t="e">
        <f>VLOOKUP($A$3:$A$76,'Listing compteurs (2)'!$B$1:$M$107,13,FALSE)</f>
        <v>#REF!</v>
      </c>
      <c r="E60" s="68" t="e">
        <f>IF(VLOOKUP($A$3:$A$76,'Listing compteurs (2)'!$B$1:$M$107,14,FALSE),VLOOKUP($A$3:$A$76,'Listing compteurs (2)'!$B$1:$M$107,14,FALSE),"")</f>
        <v>#REF!</v>
      </c>
    </row>
    <row r="61" spans="1:5" x14ac:dyDescent="0.25">
      <c r="A61" s="4" t="s">
        <v>36</v>
      </c>
      <c r="B61" s="67" t="str">
        <f>VLOOKUP(A61,'Listing compteurs (2)'!B:C,2,FALSE)</f>
        <v>C2.1</v>
      </c>
      <c r="C61" s="4">
        <f>VLOOKUP($A$3:$A$76,'Listing compteurs (2)'!$B$1:$M$107,12,FALSE)</f>
        <v>0</v>
      </c>
      <c r="D61" s="4" t="e">
        <f>VLOOKUP($A$3:$A$76,'Listing compteurs (2)'!$B$1:$M$107,13,FALSE)</f>
        <v>#REF!</v>
      </c>
      <c r="E61" s="68" t="e">
        <f>IF(VLOOKUP($A$3:$A$76,'Listing compteurs (2)'!$B$1:$M$107,14,FALSE),VLOOKUP($A$3:$A$76,'Listing compteurs (2)'!$B$1:$M$107,14,FALSE),"")</f>
        <v>#REF!</v>
      </c>
    </row>
    <row r="62" spans="1:5" x14ac:dyDescent="0.25">
      <c r="A62" s="4" t="s">
        <v>37</v>
      </c>
      <c r="B62" s="67" t="str">
        <f>VLOOKUP(A62,'Listing compteurs (2)'!B:C,2,FALSE)</f>
        <v>C11.3</v>
      </c>
      <c r="C62" s="4">
        <f>VLOOKUP($A$3:$A$76,'Listing compteurs (2)'!$B$1:$M$107,12,FALSE)</f>
        <v>41947</v>
      </c>
      <c r="D62" s="4" t="e">
        <f>VLOOKUP($A$3:$A$76,'Listing compteurs (2)'!$B$1:$M$107,13,FALSE)</f>
        <v>#REF!</v>
      </c>
      <c r="E62" s="68" t="e">
        <f>IF(VLOOKUP($A$3:$A$76,'Listing compteurs (2)'!$B$1:$M$107,14,FALSE),VLOOKUP($A$3:$A$76,'Listing compteurs (2)'!$B$1:$M$107,14,FALSE),"")</f>
        <v>#REF!</v>
      </c>
    </row>
    <row r="63" spans="1:5" x14ac:dyDescent="0.25">
      <c r="A63" s="4" t="s">
        <v>38</v>
      </c>
      <c r="B63" s="67" t="str">
        <f>VLOOKUP(A63,'Listing compteurs (2)'!B:C,2,FALSE)</f>
        <v>C2.4</v>
      </c>
      <c r="C63" s="4">
        <f>VLOOKUP($A$3:$A$76,'Listing compteurs (2)'!$B$1:$M$107,12,FALSE)</f>
        <v>41529</v>
      </c>
      <c r="D63" s="4" t="e">
        <f>VLOOKUP($A$3:$A$76,'Listing compteurs (2)'!$B$1:$M$107,13,FALSE)</f>
        <v>#REF!</v>
      </c>
      <c r="E63" s="68" t="e">
        <f>IF(VLOOKUP($A$3:$A$76,'Listing compteurs (2)'!$B$1:$M$107,14,FALSE),VLOOKUP($A$3:$A$76,'Listing compteurs (2)'!$B$1:$M$107,14,FALSE),"")</f>
        <v>#REF!</v>
      </c>
    </row>
    <row r="64" spans="1:5" x14ac:dyDescent="0.25">
      <c r="A64" s="4" t="s">
        <v>39</v>
      </c>
      <c r="B64" s="67" t="str">
        <f>VLOOKUP(A64,'Listing compteurs (2)'!B:C,2,FALSE)</f>
        <v>C8.6</v>
      </c>
      <c r="C64" s="4">
        <f>VLOOKUP($A$3:$A$76,'Listing compteurs (2)'!$B$1:$M$107,12,FALSE)</f>
        <v>0</v>
      </c>
      <c r="D64" s="4" t="e">
        <f>VLOOKUP($A$3:$A$76,'Listing compteurs (2)'!$B$1:$M$107,13,FALSE)</f>
        <v>#REF!</v>
      </c>
      <c r="E64" s="68" t="e">
        <f>IF(VLOOKUP($A$3:$A$76,'Listing compteurs (2)'!$B$1:$M$107,14,FALSE),VLOOKUP($A$3:$A$76,'Listing compteurs (2)'!$B$1:$M$107,14,FALSE),"")</f>
        <v>#REF!</v>
      </c>
    </row>
    <row r="65" spans="1:5" x14ac:dyDescent="0.25">
      <c r="A65" s="4" t="s">
        <v>201</v>
      </c>
      <c r="B65" s="67" t="str">
        <f>VLOOKUP(A65,'Listing compteurs (2)'!B:C,2,FALSE)</f>
        <v>C12.3</v>
      </c>
      <c r="C65" s="4">
        <f>VLOOKUP($A$3:$A$76,'Listing compteurs (2)'!$B$1:$M$107,12,FALSE)</f>
        <v>0</v>
      </c>
      <c r="D65" s="4" t="e">
        <f>VLOOKUP($A$3:$A$76,'Listing compteurs (2)'!$B$1:$M$107,13,FALSE)</f>
        <v>#REF!</v>
      </c>
      <c r="E65" s="68" t="e">
        <f>IF(VLOOKUP($A$3:$A$76,'Listing compteurs (2)'!$B$1:$M$107,14,FALSE),VLOOKUP($A$3:$A$76,'Listing compteurs (2)'!$B$1:$M$107,14,FALSE),"")</f>
        <v>#REF!</v>
      </c>
    </row>
    <row r="66" spans="1:5" x14ac:dyDescent="0.25">
      <c r="A66" s="4" t="s">
        <v>168</v>
      </c>
      <c r="B66" s="67" t="str">
        <f>VLOOKUP(A66,'Listing compteurs (2)'!B:C,2,FALSE)</f>
        <v>C10.4</v>
      </c>
      <c r="C66" s="4">
        <f>VLOOKUP($A$3:$A$76,'Listing compteurs (2)'!$B$1:$M$107,12,FALSE)</f>
        <v>0</v>
      </c>
      <c r="D66" s="4" t="e">
        <f>VLOOKUP($A$3:$A$76,'Listing compteurs (2)'!$B$1:$M$107,13,FALSE)</f>
        <v>#REF!</v>
      </c>
      <c r="E66" s="68" t="e">
        <f>IF(VLOOKUP($A$3:$A$76,'Listing compteurs (2)'!$B$1:$M$107,14,FALSE),VLOOKUP($A$3:$A$76,'Listing compteurs (2)'!$B$1:$M$107,14,FALSE),"")</f>
        <v>#REF!</v>
      </c>
    </row>
    <row r="67" spans="1:5" x14ac:dyDescent="0.25">
      <c r="A67" s="4" t="s">
        <v>134</v>
      </c>
      <c r="B67" s="67" t="str">
        <f>VLOOKUP(A67,'Listing compteurs (2)'!B:C,2,FALSE)</f>
        <v>C6.7</v>
      </c>
      <c r="C67" s="4">
        <f>VLOOKUP($A$3:$A$76,'Listing compteurs (2)'!$B$1:$M$107,12,FALSE)</f>
        <v>0</v>
      </c>
      <c r="D67" s="4" t="e">
        <f>VLOOKUP($A$3:$A$76,'Listing compteurs (2)'!$B$1:$M$107,13,FALSE)</f>
        <v>#REF!</v>
      </c>
      <c r="E67" s="68" t="e">
        <f>IF(VLOOKUP($A$3:$A$76,'Listing compteurs (2)'!$B$1:$M$107,14,FALSE),VLOOKUP($A$3:$A$76,'Listing compteurs (2)'!$B$1:$M$107,14,FALSE),"")</f>
        <v>#REF!</v>
      </c>
    </row>
    <row r="68" spans="1:5" x14ac:dyDescent="0.25">
      <c r="A68" s="4" t="s">
        <v>140</v>
      </c>
      <c r="B68" s="67" t="str">
        <f>VLOOKUP(A68,'Listing compteurs (2)'!B:C,2,FALSE)</f>
        <v>C10.6</v>
      </c>
      <c r="C68" s="4">
        <f>VLOOKUP($A$3:$A$76,'Listing compteurs (2)'!$B$1:$M$107,12,FALSE)</f>
        <v>0</v>
      </c>
      <c r="D68" s="4" t="e">
        <f>VLOOKUP($A$3:$A$76,'Listing compteurs (2)'!$B$1:$M$107,13,FALSE)</f>
        <v>#REF!</v>
      </c>
      <c r="E68" s="68" t="e">
        <f>IF(VLOOKUP($A$3:$A$76,'Listing compteurs (2)'!$B$1:$M$107,14,FALSE),VLOOKUP($A$3:$A$76,'Listing compteurs (2)'!$B$1:$M$107,14,FALSE),"")</f>
        <v>#REF!</v>
      </c>
    </row>
    <row r="69" spans="1:5" x14ac:dyDescent="0.25">
      <c r="A69" s="4" t="s">
        <v>141</v>
      </c>
      <c r="B69" s="67" t="str">
        <f>VLOOKUP(A69,'Listing compteurs (2)'!B:C,2,FALSE)</f>
        <v>C8.5</v>
      </c>
      <c r="C69" s="4">
        <f>VLOOKUP($A$3:$A$76,'Listing compteurs (2)'!$B$1:$M$107,12,FALSE)</f>
        <v>0</v>
      </c>
      <c r="D69" s="4" t="e">
        <f>VLOOKUP($A$3:$A$76,'Listing compteurs (2)'!$B$1:$M$107,13,FALSE)</f>
        <v>#REF!</v>
      </c>
      <c r="E69" s="68" t="e">
        <f>IF(VLOOKUP($A$3:$A$76,'Listing compteurs (2)'!$B$1:$M$107,14,FALSE),VLOOKUP($A$3:$A$76,'Listing compteurs (2)'!$B$1:$M$107,14,FALSE),"")</f>
        <v>#REF!</v>
      </c>
    </row>
    <row r="70" spans="1:5" x14ac:dyDescent="0.25">
      <c r="A70" s="4" t="s">
        <v>138</v>
      </c>
      <c r="B70" s="67" t="str">
        <f>VLOOKUP(A70,'Listing compteurs (2)'!B:C,2,FALSE)</f>
        <v>C8.7</v>
      </c>
      <c r="C70" s="4">
        <f>VLOOKUP($A$3:$A$76,'Listing compteurs (2)'!$B$1:$M$107,12,FALSE)</f>
        <v>0</v>
      </c>
      <c r="D70" s="4" t="e">
        <f>VLOOKUP($A$3:$A$76,'Listing compteurs (2)'!$B$1:$M$107,13,FALSE)</f>
        <v>#REF!</v>
      </c>
      <c r="E70" s="68" t="e">
        <f>IF(VLOOKUP($A$3:$A$76,'Listing compteurs (2)'!$B$1:$M$107,14,FALSE),VLOOKUP($A$3:$A$76,'Listing compteurs (2)'!$B$1:$M$107,14,FALSE),"")</f>
        <v>#REF!</v>
      </c>
    </row>
    <row r="71" spans="1:5" x14ac:dyDescent="0.25">
      <c r="A71" s="4" t="s">
        <v>133</v>
      </c>
      <c r="B71" s="67" t="str">
        <f>VLOOKUP(A71,'Listing compteurs (2)'!B:C,2,FALSE)</f>
        <v>C12.12</v>
      </c>
      <c r="C71" s="4">
        <f>VLOOKUP($A$3:$A$76,'Listing compteurs (2)'!$B$1:$M$107,12,FALSE)</f>
        <v>0</v>
      </c>
      <c r="D71" s="4" t="e">
        <f>VLOOKUP($A$3:$A$76,'Listing compteurs (2)'!$B$1:$M$107,13,FALSE)</f>
        <v>#REF!</v>
      </c>
      <c r="E71" s="68" t="e">
        <f>IF(VLOOKUP($A$3:$A$76,'Listing compteurs (2)'!$B$1:$M$107,14,FALSE),VLOOKUP($A$3:$A$76,'Listing compteurs (2)'!$B$1:$M$107,14,FALSE),"")</f>
        <v>#REF!</v>
      </c>
    </row>
    <row r="72" spans="1:5" x14ac:dyDescent="0.25">
      <c r="A72" s="4" t="s">
        <v>266</v>
      </c>
      <c r="B72" s="67" t="str">
        <f>VLOOKUP(A72,'Listing compteurs (2)'!B:C,2,FALSE)</f>
        <v>C12.12</v>
      </c>
      <c r="C72" s="4">
        <f>VLOOKUP($A$3:$A$76,'Listing compteurs (2)'!$B$1:$M$107,12,FALSE)</f>
        <v>0</v>
      </c>
      <c r="D72" s="4" t="e">
        <f>VLOOKUP($A$3:$A$76,'Listing compteurs (2)'!$B$1:$M$107,13,FALSE)</f>
        <v>#REF!</v>
      </c>
      <c r="E72" s="68" t="e">
        <f>IF(VLOOKUP($A$3:$A$76,'Listing compteurs (2)'!$B$1:$M$107,14,FALSE),VLOOKUP($A$3:$A$76,'Listing compteurs (2)'!$B$1:$M$107,14,FALSE),"")</f>
        <v>#REF!</v>
      </c>
    </row>
    <row r="73" spans="1:5" x14ac:dyDescent="0.25">
      <c r="A73" s="4" t="s">
        <v>267</v>
      </c>
      <c r="B73" s="67" t="str">
        <f>VLOOKUP(A73,'Listing compteurs (2)'!B:C,2,FALSE)</f>
        <v>C12.12</v>
      </c>
      <c r="C73" s="4">
        <f>VLOOKUP($A$3:$A$76,'Listing compteurs (2)'!$B$1:$M$107,12,FALSE)</f>
        <v>0</v>
      </c>
      <c r="D73" s="4" t="e">
        <f>VLOOKUP($A$3:$A$76,'Listing compteurs (2)'!$B$1:$M$107,13,FALSE)</f>
        <v>#REF!</v>
      </c>
      <c r="E73" s="68" t="e">
        <f>IF(VLOOKUP($A$3:$A$76,'Listing compteurs (2)'!$B$1:$M$107,14,FALSE),VLOOKUP($A$3:$A$76,'Listing compteurs (2)'!$B$1:$M$107,14,FALSE),"")</f>
        <v>#REF!</v>
      </c>
    </row>
    <row r="74" spans="1:5" x14ac:dyDescent="0.25">
      <c r="A74" s="4" t="s">
        <v>335</v>
      </c>
      <c r="B74" s="67" t="str">
        <f>VLOOKUP(A74,'Listing compteurs (2)'!B:C,2,FALSE)</f>
        <v>C4.4</v>
      </c>
      <c r="C74" s="4">
        <f>VLOOKUP($A$3:$A$76,'Listing compteurs (2)'!$B$1:$M$107,12,FALSE)</f>
        <v>0</v>
      </c>
      <c r="D74" s="4" t="e">
        <f>VLOOKUP($A$3:$A$76,'Listing compteurs (2)'!$B$1:$M$107,13,FALSE)</f>
        <v>#REF!</v>
      </c>
      <c r="E74" s="68" t="e">
        <f>IF(VLOOKUP($A$3:$A$76,'Listing compteurs (2)'!$B$1:$M$107,14,FALSE),VLOOKUP($A$3:$A$76,'Listing compteurs (2)'!$B$1:$M$107,14,FALSE),"")</f>
        <v>#REF!</v>
      </c>
    </row>
    <row r="75" spans="1:5" x14ac:dyDescent="0.25">
      <c r="A75" s="4" t="s">
        <v>164</v>
      </c>
      <c r="B75" s="67" t="str">
        <f>VLOOKUP(A75,'Listing compteurs (2)'!B:C,2,FALSE)</f>
        <v>C8.7.1</v>
      </c>
      <c r="C75" s="4">
        <f>VLOOKUP($A$3:$A$76,'Listing compteurs (2)'!$B$1:$M$107,12,FALSE)</f>
        <v>0</v>
      </c>
      <c r="D75" s="4" t="e">
        <f>VLOOKUP($A$3:$A$76,'Listing compteurs (2)'!$B$1:$M$107,13,FALSE)</f>
        <v>#REF!</v>
      </c>
      <c r="E75" s="68" t="e">
        <f>IF(VLOOKUP($A$3:$A$76,'Listing compteurs (2)'!$B$1:$M$107,14,FALSE),VLOOKUP($A$3:$A$76,'Listing compteurs (2)'!$B$1:$M$107,14,FALSE),"")</f>
        <v>#REF!</v>
      </c>
    </row>
    <row r="76" spans="1:5" x14ac:dyDescent="0.25">
      <c r="A76" s="4" t="s">
        <v>165</v>
      </c>
      <c r="B76" s="67" t="str">
        <f>VLOOKUP(A76,'Listing compteurs (2)'!B:C,2,FALSE)</f>
        <v>C8.7.2</v>
      </c>
      <c r="C76" s="4">
        <f>VLOOKUP($A$3:$A$76,'Listing compteurs (2)'!$B$1:$M$107,12,FALSE)</f>
        <v>0</v>
      </c>
      <c r="D76" s="4" t="e">
        <f>VLOOKUP($A$3:$A$76,'Listing compteurs (2)'!$B$1:$M$107,13,FALSE)</f>
        <v>#REF!</v>
      </c>
      <c r="E76" s="68" t="e">
        <f>IF(VLOOKUP($A$3:$A$76,'Listing compteurs (2)'!$B$1:$M$107,14,FALSE),VLOOKUP($A$3:$A$76,'Listing compteurs (2)'!$B$1:$M$107,14,FALSE),"")</f>
        <v>#REF!</v>
      </c>
    </row>
  </sheetData>
  <autoFilter ref="A2:E2"/>
  <conditionalFormatting sqref="E1:E1048576">
    <cfRule type="containsBlanks" priority="2" stopIfTrue="1">
      <formula>LEN(TRIM(E1))=0</formula>
    </cfRule>
  </conditionalFormatting>
  <pageMargins left="0.7" right="0.7" top="0.75" bottom="0.75" header="0.3" footer="0.3"/>
  <pageSetup paperSize="9" orientation="portrait" verticalDpi="0" r:id="rId1"/>
  <headerFooter>
    <oddHeader xml:space="preserve">&amp;C&amp;A
&amp;R&amp;D / &amp;T
</oddHeader>
    <oddFooter>&amp;LClément Caspar&amp;CPage &amp;P de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" operator="lessThanOrEqual" id="{A2D01EE5-C73A-4A3A-8756-C3853E1251B4}">
            <xm:f>Feuil3!$A$3</xm:f>
            <x14:dxf>
              <fill>
                <patternFill>
                  <bgColor rgb="FFFF0000"/>
                </patternFill>
              </fill>
            </x14:dxf>
          </x14:cfRule>
          <x14:cfRule type="cellIs" priority="4" stopIfTrue="1" operator="lessThanOrEqual" id="{3C97BF15-006F-4D94-990D-806B7F91EF08}">
            <xm:f>Feuil3!$A$2</xm:f>
            <x14:dxf>
              <fill>
                <patternFill>
                  <bgColor rgb="FFFFC000"/>
                </patternFill>
              </fill>
            </x14:dxf>
          </x14:cfRule>
          <xm:sqref>E3:E100</xm:sqref>
        </x14:conditionalFormatting>
        <x14:conditionalFormatting xmlns:xm="http://schemas.microsoft.com/office/excel/2006/main">
          <x14:cfRule type="cellIs" priority="1" operator="between" id="{82A128E3-89E9-4FA6-9B82-11E98DFBF08A}">
            <xm:f>Feuil3!$A$1</xm:f>
            <xm:f>Feuil3!$A$2</xm:f>
            <x14:dxf>
              <fill>
                <patternFill>
                  <bgColor rgb="FF00B050"/>
                </patternFill>
              </fill>
            </x14:dxf>
          </x14:cfRule>
          <xm:sqref>E1:E1048576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4"/>
  <sheetViews>
    <sheetView tabSelected="1" view="pageLayout" zoomScaleNormal="100" workbookViewId="0">
      <selection activeCell="F24" sqref="F24"/>
    </sheetView>
  </sheetViews>
  <sheetFormatPr baseColWidth="10" defaultRowHeight="13.5" customHeight="1" x14ac:dyDescent="0.25"/>
  <cols>
    <col min="1" max="1" width="4.85546875" style="16" customWidth="1"/>
    <col min="2" max="2" width="8.42578125" style="51" customWidth="1"/>
    <col min="3" max="3" width="6.7109375" style="14" bestFit="1" customWidth="1"/>
    <col min="4" max="4" width="6.28515625" style="36" customWidth="1"/>
    <col min="5" max="5" width="6.42578125" style="14" customWidth="1"/>
    <col min="6" max="7" width="6.7109375" style="14" customWidth="1"/>
    <col min="8" max="8" width="8.85546875" style="14" customWidth="1"/>
    <col min="9" max="9" width="5.42578125" style="14" customWidth="1"/>
    <col min="10" max="10" width="6.7109375" style="14" customWidth="1"/>
    <col min="11" max="12" width="5.7109375" style="14" customWidth="1"/>
    <col min="13" max="13" width="10.140625" style="14" customWidth="1"/>
    <col min="14" max="14" width="10.42578125" style="41" bestFit="1" customWidth="1"/>
    <col min="15" max="16384" width="11.42578125" style="14"/>
  </cols>
  <sheetData>
    <row r="1" spans="1:16" s="2" customFormat="1" ht="40.5" customHeight="1" x14ac:dyDescent="0.25">
      <c r="A1" s="57"/>
      <c r="B1" s="59"/>
      <c r="C1" s="57"/>
      <c r="D1" s="18" t="s">
        <v>340</v>
      </c>
      <c r="E1" s="18" t="s">
        <v>341</v>
      </c>
      <c r="F1" s="35" t="s">
        <v>183</v>
      </c>
      <c r="G1" s="35" t="s">
        <v>344</v>
      </c>
      <c r="H1" s="18" t="s">
        <v>339</v>
      </c>
      <c r="I1" s="18" t="s">
        <v>348</v>
      </c>
      <c r="J1" s="18" t="s">
        <v>224</v>
      </c>
      <c r="K1" s="18" t="s">
        <v>223</v>
      </c>
      <c r="L1" s="18" t="s">
        <v>173</v>
      </c>
      <c r="M1" s="45" t="s">
        <v>172</v>
      </c>
    </row>
    <row r="2" spans="1:16" ht="13.5" customHeight="1" x14ac:dyDescent="0.25">
      <c r="A2" s="15" t="s">
        <v>81</v>
      </c>
      <c r="B2" s="48" t="s">
        <v>47</v>
      </c>
      <c r="C2" s="15" t="s">
        <v>81</v>
      </c>
      <c r="D2" s="15" t="s">
        <v>67</v>
      </c>
      <c r="E2" s="15" t="str">
        <f>VLOOKUP(B2,'Liste a câbles'!B:C,2,FALSE)</f>
        <v>0201</v>
      </c>
      <c r="F2" s="31">
        <f>VLOOKUP(B2,'Liste a câbles'!B:O,14,FALSE)</f>
        <v>10.916047273806177</v>
      </c>
      <c r="G2" s="31">
        <f>VLOOKUP(B2,'Liste a câbles'!B:P,13,FALSE)</f>
        <v>0.18</v>
      </c>
      <c r="H2" s="15">
        <f>IF(F2&lt;&gt;"",(VLOOKUP(B2,'Liste a câbles'!B:E,4,FALSE))/100*G2,"")</f>
        <v>0.72</v>
      </c>
      <c r="I2" s="15"/>
      <c r="J2" s="15"/>
      <c r="K2" s="15"/>
      <c r="L2" s="15"/>
      <c r="M2" s="38"/>
      <c r="N2" s="14"/>
    </row>
    <row r="3" spans="1:16" ht="13.5" customHeight="1" x14ac:dyDescent="0.25">
      <c r="B3" s="48" t="s">
        <v>58</v>
      </c>
      <c r="C3" s="15" t="s">
        <v>144</v>
      </c>
      <c r="D3" s="15" t="s">
        <v>67</v>
      </c>
      <c r="E3" s="15" t="str">
        <f>VLOOKUP(B3,'Liste a câbles'!B:C,2,FALSE)</f>
        <v>0202</v>
      </c>
      <c r="F3" s="31" t="str">
        <f>VLOOKUP(B3,'Liste a câbles'!B:O,14,FALSE)</f>
        <v/>
      </c>
      <c r="G3" s="31" t="str">
        <f>VLOOKUP(B3,'Liste a câbles'!B:P,13,FALSE)</f>
        <v/>
      </c>
      <c r="H3" s="15" t="str">
        <f>IF(F3&lt;&gt;"",(VLOOKUP(B3,'Liste a câbles'!B:E,4,FALSE))/100*G3,"")</f>
        <v/>
      </c>
      <c r="I3" s="15"/>
      <c r="J3" s="15"/>
      <c r="K3" s="15" t="s">
        <v>179</v>
      </c>
      <c r="L3" s="15" t="s">
        <v>179</v>
      </c>
      <c r="M3" s="38">
        <v>41947</v>
      </c>
      <c r="N3" s="14"/>
      <c r="O3"/>
      <c r="P3"/>
    </row>
    <row r="4" spans="1:16" ht="13.5" customHeight="1" x14ac:dyDescent="0.25">
      <c r="D4" s="14"/>
      <c r="H4" s="14" t="str">
        <f>IF(F4&lt;&gt;"",(VLOOKUP(B4,'Liste a câbles'!B:E,4,FALSE))/100*G4,"")</f>
        <v/>
      </c>
      <c r="M4" s="41"/>
      <c r="N4" s="14"/>
      <c r="O4"/>
      <c r="P4"/>
    </row>
    <row r="5" spans="1:16" ht="13.5" customHeight="1" x14ac:dyDescent="0.25">
      <c r="A5" s="53" t="s">
        <v>86</v>
      </c>
      <c r="B5" s="48" t="s">
        <v>36</v>
      </c>
      <c r="C5" s="15" t="s">
        <v>106</v>
      </c>
      <c r="D5" s="15" t="s">
        <v>184</v>
      </c>
      <c r="E5" s="15">
        <f>VLOOKUP(B5,'Liste a câbles'!B:C,2,FALSE)</f>
        <v>2201</v>
      </c>
      <c r="F5" s="31" t="str">
        <f>VLOOKUP(B5,'Liste a câbles'!B:O,14,FALSE)</f>
        <v/>
      </c>
      <c r="G5" s="31" t="str">
        <f>VLOOKUP(B5,'Liste a câbles'!B:P,13,FALSE)</f>
        <v/>
      </c>
      <c r="H5" s="15" t="str">
        <f>IF(F5&lt;&gt;"",(VLOOKUP(B5,'Liste a câbles'!B:E,4,FALSE))/100*G5,"")</f>
        <v/>
      </c>
      <c r="I5" s="15"/>
      <c r="J5" s="15"/>
      <c r="K5" s="15"/>
      <c r="L5" s="15"/>
      <c r="M5" s="38"/>
      <c r="N5" s="14"/>
      <c r="O5"/>
      <c r="P5"/>
    </row>
    <row r="6" spans="1:16" ht="13.5" customHeight="1" x14ac:dyDescent="0.25">
      <c r="B6" s="48" t="s">
        <v>33</v>
      </c>
      <c r="C6" s="15" t="s">
        <v>148</v>
      </c>
      <c r="D6" s="15" t="s">
        <v>32</v>
      </c>
      <c r="E6" s="15" t="str">
        <f>VLOOKUP(B6,'Liste a câbles'!B:C,2,FALSE)</f>
        <v>2201/1</v>
      </c>
      <c r="F6" s="31" t="str">
        <f>VLOOKUP(B6,'Liste a câbles'!B:O,14,FALSE)</f>
        <v/>
      </c>
      <c r="G6" s="31" t="str">
        <f>VLOOKUP(B6,'Liste a câbles'!B:P,13,FALSE)</f>
        <v/>
      </c>
      <c r="H6" s="15" t="str">
        <f>IF(F6&lt;&gt;"",(VLOOKUP(B6,'Liste a câbles'!B:E,4,FALSE))/100*G6,"")</f>
        <v/>
      </c>
      <c r="I6" s="15"/>
      <c r="J6" s="15"/>
      <c r="K6" s="15"/>
      <c r="L6" s="15"/>
      <c r="M6" s="38"/>
      <c r="N6" s="14"/>
      <c r="O6"/>
      <c r="P6"/>
    </row>
    <row r="7" spans="1:16" ht="13.5" customHeight="1" x14ac:dyDescent="0.25">
      <c r="B7" s="48" t="s">
        <v>30</v>
      </c>
      <c r="C7" s="15" t="s">
        <v>107</v>
      </c>
      <c r="D7" s="15" t="s">
        <v>184</v>
      </c>
      <c r="E7" s="15">
        <f>VLOOKUP(B7,'Liste a câbles'!B:C,2,FALSE)</f>
        <v>2202</v>
      </c>
      <c r="F7" s="31" t="str">
        <f>VLOOKUP(B7,'Liste a câbles'!B:O,14,FALSE)</f>
        <v/>
      </c>
      <c r="G7" s="31" t="str">
        <f>VLOOKUP(B7,'Liste a câbles'!B:P,13,FALSE)</f>
        <v/>
      </c>
      <c r="H7" s="15" t="str">
        <f>IF(F7&lt;&gt;"",(VLOOKUP(B7,'Liste a câbles'!B:E,4,FALSE))/100*G7,"")</f>
        <v/>
      </c>
      <c r="I7" s="15"/>
      <c r="J7" s="15"/>
      <c r="K7" s="15"/>
      <c r="L7" s="15"/>
      <c r="M7" s="38"/>
      <c r="N7" s="14"/>
      <c r="O7"/>
      <c r="P7"/>
    </row>
    <row r="8" spans="1:16" ht="13.5" customHeight="1" x14ac:dyDescent="0.25">
      <c r="B8" s="48" t="s">
        <v>29</v>
      </c>
      <c r="C8" s="15" t="s">
        <v>149</v>
      </c>
      <c r="D8" s="15" t="s">
        <v>184</v>
      </c>
      <c r="E8" s="15">
        <f>VLOOKUP(B8,'Liste a câbles'!B:C,2,FALSE)</f>
        <v>2203</v>
      </c>
      <c r="F8" s="31">
        <f>VLOOKUP(B8,'Liste a câbles'!B:O,14,FALSE)</f>
        <v>1.6344188733375833</v>
      </c>
      <c r="G8" s="31">
        <f>VLOOKUP(B8,'Liste a câbles'!B:P,13,FALSE)</f>
        <v>2.2199999999999998</v>
      </c>
      <c r="H8" s="15">
        <f>IF(F8&lt;&gt;"",(VLOOKUP(B8,'Liste a câbles'!B:E,4,FALSE))/100*G8,"")</f>
        <v>8.879999999999999</v>
      </c>
      <c r="I8" s="15"/>
      <c r="J8" s="15"/>
      <c r="K8" s="15" t="s">
        <v>179</v>
      </c>
      <c r="L8" s="15" t="s">
        <v>179</v>
      </c>
      <c r="M8" s="38"/>
      <c r="N8" s="14"/>
      <c r="O8"/>
      <c r="P8"/>
    </row>
    <row r="9" spans="1:16" ht="13.5" customHeight="1" x14ac:dyDescent="0.25">
      <c r="B9" s="48" t="s">
        <v>38</v>
      </c>
      <c r="C9" s="15" t="s">
        <v>108</v>
      </c>
      <c r="D9" s="15" t="s">
        <v>184</v>
      </c>
      <c r="E9" s="15">
        <f>VLOOKUP(B9,'Liste a câbles'!B:C,2,FALSE)</f>
        <v>2204</v>
      </c>
      <c r="F9" s="31" t="str">
        <f>VLOOKUP(B9,'Liste a câbles'!B:O,14,FALSE)</f>
        <v/>
      </c>
      <c r="G9" s="31" t="str">
        <f>VLOOKUP(B9,'Liste a câbles'!B:P,13,FALSE)</f>
        <v/>
      </c>
      <c r="H9" s="15" t="str">
        <f>IF(F9&lt;&gt;"",(VLOOKUP(B9,'Liste a câbles'!B:E,4,FALSE))/100*G9,"")</f>
        <v/>
      </c>
      <c r="I9" s="15"/>
      <c r="J9" s="15"/>
      <c r="K9" s="15"/>
      <c r="L9" s="15" t="s">
        <v>179</v>
      </c>
      <c r="M9" s="38">
        <v>41529</v>
      </c>
      <c r="N9" s="14"/>
      <c r="O9"/>
      <c r="P9"/>
    </row>
    <row r="10" spans="1:16" ht="13.5" customHeight="1" x14ac:dyDescent="0.25">
      <c r="D10" s="14"/>
      <c r="G10" s="31"/>
      <c r="H10" s="14" t="str">
        <f>IF(F10&lt;&gt;"",(VLOOKUP(B10,'Liste a câbles'!B:E,4,FALSE))/100*G10,"")</f>
        <v/>
      </c>
      <c r="M10" s="41"/>
      <c r="N10" s="14"/>
      <c r="O10"/>
      <c r="P10"/>
    </row>
    <row r="11" spans="1:16" ht="13.5" customHeight="1" x14ac:dyDescent="0.25">
      <c r="A11" s="15" t="s">
        <v>82</v>
      </c>
      <c r="B11" s="60" t="s">
        <v>41</v>
      </c>
      <c r="C11" s="15" t="s">
        <v>82</v>
      </c>
      <c r="D11" s="15" t="s">
        <v>67</v>
      </c>
      <c r="E11" s="15" t="str">
        <f>VLOOKUP(B11,'Liste a câbles'!B:C,2,FALSE)</f>
        <v>0203</v>
      </c>
      <c r="F11" s="31">
        <f>VLOOKUP(B11,'Liste a câbles'!B:O,14,FALSE)</f>
        <v>7.8847751084587001</v>
      </c>
      <c r="G11" s="31">
        <f>VLOOKUP(B11,'Liste a câbles'!B:P,13,FALSE)</f>
        <v>0.98</v>
      </c>
      <c r="H11" s="15">
        <f>IF(F11&lt;&gt;"",(VLOOKUP(B11,'Liste a câbles'!B:E,4,FALSE))/100*G11,"")</f>
        <v>3.92</v>
      </c>
      <c r="I11" s="15"/>
      <c r="J11" s="15"/>
      <c r="K11" s="15"/>
      <c r="L11" s="15" t="s">
        <v>179</v>
      </c>
      <c r="M11" s="38">
        <v>41340</v>
      </c>
      <c r="N11" s="14"/>
      <c r="O11"/>
      <c r="P11"/>
    </row>
    <row r="12" spans="1:16" ht="13.5" customHeight="1" x14ac:dyDescent="0.25">
      <c r="B12" s="48" t="s">
        <v>42</v>
      </c>
      <c r="C12" s="15" t="s">
        <v>82</v>
      </c>
      <c r="D12" s="15" t="s">
        <v>67</v>
      </c>
      <c r="E12" s="15" t="str">
        <f>VLOOKUP(B12,'Liste a câbles'!B:C,2,FALSE)</f>
        <v>0204</v>
      </c>
      <c r="F12" s="31">
        <f>VLOOKUP(B12,'Liste a câbles'!B:O,14,FALSE)</f>
        <v>6.1064122435583128</v>
      </c>
      <c r="G12" s="31">
        <f>VLOOKUP(B12,'Liste a câbles'!B:P,13,FALSE)</f>
        <v>1.33</v>
      </c>
      <c r="H12" s="15">
        <f>IF(F12&lt;&gt;"",(VLOOKUP(B12,'Liste a câbles'!B:E,4,FALSE))/100*G12,"")</f>
        <v>5.32</v>
      </c>
      <c r="I12" s="15"/>
      <c r="J12" s="15"/>
      <c r="K12" s="15"/>
      <c r="L12" s="15" t="s">
        <v>179</v>
      </c>
      <c r="M12" s="38">
        <v>41340</v>
      </c>
      <c r="N12" s="14"/>
      <c r="O12"/>
      <c r="P12"/>
    </row>
    <row r="13" spans="1:16" ht="13.5" customHeight="1" x14ac:dyDescent="0.25">
      <c r="B13" s="48" t="s">
        <v>45</v>
      </c>
      <c r="C13" s="15" t="s">
        <v>82</v>
      </c>
      <c r="D13" s="15" t="s">
        <v>67</v>
      </c>
      <c r="E13" s="15" t="str">
        <f>VLOOKUP(B13,'Liste a câbles'!B:C,2,FALSE)</f>
        <v>0205</v>
      </c>
      <c r="F13" s="31" t="str">
        <f>VLOOKUP(B13,'Liste a câbles'!B:O,14,FALSE)</f>
        <v/>
      </c>
      <c r="G13" s="31" t="str">
        <f>VLOOKUP(B13,'Liste a câbles'!B:P,13,FALSE)</f>
        <v/>
      </c>
      <c r="H13" s="15" t="str">
        <f>IF(F13&lt;&gt;"",(VLOOKUP(B13,'Liste a câbles'!B:E,4,FALSE))/100*G13,"")</f>
        <v/>
      </c>
      <c r="I13" s="15"/>
      <c r="J13" s="15"/>
      <c r="K13" s="15"/>
      <c r="L13" s="15" t="s">
        <v>179</v>
      </c>
      <c r="M13" s="38">
        <v>41529</v>
      </c>
      <c r="N13" s="14"/>
      <c r="O13"/>
      <c r="P13"/>
    </row>
    <row r="14" spans="1:16" ht="13.5" customHeight="1" x14ac:dyDescent="0.25">
      <c r="D14" s="14"/>
      <c r="E14" s="101"/>
      <c r="F14" s="101"/>
      <c r="G14" s="101"/>
      <c r="H14" s="101" t="str">
        <f>IF(F14&lt;&gt;"",(VLOOKUP(B14,'Liste a câbles'!B:E,4,FALSE))/100*G14,"")</f>
        <v/>
      </c>
      <c r="I14" s="101"/>
      <c r="M14" s="41"/>
      <c r="N14" s="14"/>
      <c r="O14"/>
      <c r="P14"/>
    </row>
    <row r="15" spans="1:16" ht="13.5" customHeight="1" x14ac:dyDescent="0.25">
      <c r="A15" s="15" t="s">
        <v>74</v>
      </c>
      <c r="B15" s="48" t="s">
        <v>40</v>
      </c>
      <c r="C15" s="15" t="s">
        <v>74</v>
      </c>
      <c r="D15" s="15" t="s">
        <v>67</v>
      </c>
      <c r="E15" s="15" t="str">
        <f>VLOOKUP(B15,'Liste a câbles'!B:C,2,FALSE)</f>
        <v>0206</v>
      </c>
      <c r="F15" s="31">
        <f>VLOOKUP(B15,'Liste a câbles'!B:O,14,FALSE)</f>
        <v>7.5562574455299361</v>
      </c>
      <c r="G15" s="31">
        <f>VLOOKUP(B15,'Liste a câbles'!B:P,13,FALSE)</f>
        <v>1.67</v>
      </c>
      <c r="H15" s="15">
        <f>IF(F15&lt;&gt;"",(VLOOKUP(B15,'Liste a câbles'!B:E,4,FALSE))/100*G15,"")</f>
        <v>6.68</v>
      </c>
      <c r="I15" s="15">
        <v>150</v>
      </c>
      <c r="J15" s="15"/>
      <c r="K15" s="15"/>
      <c r="L15" s="15" t="s">
        <v>179</v>
      </c>
      <c r="M15" s="38">
        <v>41319</v>
      </c>
      <c r="N15" s="14"/>
    </row>
    <row r="16" spans="1:16" ht="13.5" customHeight="1" x14ac:dyDescent="0.25">
      <c r="B16" s="48" t="s">
        <v>44</v>
      </c>
      <c r="C16" s="15" t="s">
        <v>170</v>
      </c>
      <c r="D16" s="15" t="s">
        <v>185</v>
      </c>
      <c r="E16" s="15" t="str">
        <f>VLOOKUP(B16,'Liste a câbles'!B:C,2,FALSE)</f>
        <v>2401</v>
      </c>
      <c r="F16" s="31" t="str">
        <f>VLOOKUP(B16,'Liste a câbles'!B:O,14,FALSE)</f>
        <v/>
      </c>
      <c r="G16" s="31" t="str">
        <f>VLOOKUP(B16,'Liste a câbles'!B:P,13,FALSE)</f>
        <v/>
      </c>
      <c r="H16" s="15" t="str">
        <f>IF(F16&lt;&gt;"",(VLOOKUP(B16,'Liste a câbles'!B:E,4,FALSE))/100*G16,"")</f>
        <v/>
      </c>
      <c r="I16" s="15"/>
      <c r="J16" s="15"/>
      <c r="K16" s="15"/>
      <c r="L16" s="15"/>
      <c r="M16" s="38"/>
      <c r="N16" s="14"/>
    </row>
    <row r="17" spans="1:14" ht="13.5" customHeight="1" x14ac:dyDescent="0.25">
      <c r="B17" s="48" t="s">
        <v>43</v>
      </c>
      <c r="C17" s="15" t="s">
        <v>145</v>
      </c>
      <c r="D17" s="15" t="s">
        <v>185</v>
      </c>
      <c r="E17" s="15" t="str">
        <f>VLOOKUP(B17,'Liste a câbles'!B:C,2,FALSE)</f>
        <v>2402</v>
      </c>
      <c r="F17" s="31" t="str">
        <f>VLOOKUP(B17,'Liste a câbles'!B:O,14,FALSE)</f>
        <v/>
      </c>
      <c r="G17" s="31" t="str">
        <f>VLOOKUP(B17,'Liste a câbles'!B:P,13,FALSE)</f>
        <v/>
      </c>
      <c r="H17" s="15" t="str">
        <f>IF(F17&lt;&gt;"",(VLOOKUP(B17,'Liste a câbles'!B:E,4,FALSE))/100*G17,"")</f>
        <v/>
      </c>
      <c r="I17" s="15"/>
      <c r="J17" s="15"/>
      <c r="K17" s="15"/>
      <c r="L17" s="15"/>
      <c r="M17" s="38"/>
      <c r="N17" s="14"/>
    </row>
    <row r="18" spans="1:14" ht="13.5" customHeight="1" x14ac:dyDescent="0.25">
      <c r="B18" s="48" t="s">
        <v>46</v>
      </c>
      <c r="C18" s="15" t="s">
        <v>171</v>
      </c>
      <c r="D18" s="15" t="s">
        <v>185</v>
      </c>
      <c r="E18" s="15" t="str">
        <f>VLOOKUP(B18,'Liste a câbles'!B:C,2,FALSE)</f>
        <v>2403</v>
      </c>
      <c r="F18" s="31" t="str">
        <f>VLOOKUP(B18,'Liste a câbles'!B:O,14,FALSE)</f>
        <v/>
      </c>
      <c r="G18" s="31" t="str">
        <f>VLOOKUP(B18,'Liste a câbles'!B:P,13,FALSE)</f>
        <v/>
      </c>
      <c r="H18" s="15" t="str">
        <f>IF(F18&lt;&gt;"",(VLOOKUP(B18,'Liste a câbles'!B:E,4,FALSE))/100*G18,"")</f>
        <v/>
      </c>
      <c r="I18" s="15"/>
      <c r="J18" s="15"/>
      <c r="K18" s="15"/>
      <c r="L18" s="15"/>
      <c r="M18" s="38"/>
      <c r="N18" s="14"/>
    </row>
    <row r="19" spans="1:14" ht="13.5" customHeight="1" x14ac:dyDescent="0.25">
      <c r="B19" s="48" t="s">
        <v>335</v>
      </c>
      <c r="C19" s="15" t="s">
        <v>219</v>
      </c>
      <c r="D19" s="15" t="s">
        <v>222</v>
      </c>
      <c r="E19" s="15" t="str">
        <f>VLOOKUP(B19,'Liste a câbles'!B:C,2,FALSE)</f>
        <v>2701</v>
      </c>
      <c r="F19" s="31" t="str">
        <f>VLOOKUP(B19,'Liste a câbles'!B:O,14,FALSE)</f>
        <v/>
      </c>
      <c r="G19" s="31" t="str">
        <f>VLOOKUP(B19,'Liste a câbles'!B:P,13,FALSE)</f>
        <v/>
      </c>
      <c r="H19" s="15" t="str">
        <f>IF(F19&lt;&gt;"",(VLOOKUP(B19,'Liste a câbles'!B:E,4,FALSE))/100*G19,"")</f>
        <v/>
      </c>
      <c r="I19" s="15"/>
      <c r="J19" s="15"/>
      <c r="K19" s="15"/>
      <c r="L19" s="15"/>
      <c r="M19" s="38"/>
      <c r="N19" s="14"/>
    </row>
    <row r="20" spans="1:14" ht="13.5" customHeight="1" x14ac:dyDescent="0.25">
      <c r="B20" s="48" t="s">
        <v>218</v>
      </c>
      <c r="C20" s="15" t="s">
        <v>220</v>
      </c>
      <c r="D20" s="15" t="s">
        <v>222</v>
      </c>
      <c r="E20" s="15" t="str">
        <f>VLOOKUP(B20,'Liste a câbles'!B:C,2,FALSE)</f>
        <v>2702</v>
      </c>
      <c r="F20" s="31">
        <f>VLOOKUP(B20,'Liste a câbles'!B:O,14,FALSE)</f>
        <v>1.041643422957764</v>
      </c>
      <c r="G20" s="31">
        <f>VLOOKUP(B20,'Liste a câbles'!B:P,13,FALSE)</f>
        <v>5.6000000000000005</v>
      </c>
      <c r="H20" s="15">
        <f>IF(F20&lt;&gt;"",(VLOOKUP(B20,'Liste a câbles'!B:E,4,FALSE))/100*G20,"")</f>
        <v>22.400000000000002</v>
      </c>
      <c r="I20" s="15"/>
      <c r="J20" s="15"/>
      <c r="K20" s="15" t="s">
        <v>179</v>
      </c>
      <c r="L20" s="15" t="s">
        <v>179</v>
      </c>
      <c r="M20" s="38"/>
      <c r="N20" s="14"/>
    </row>
    <row r="21" spans="1:14" ht="13.5" customHeight="1" x14ac:dyDescent="0.25">
      <c r="D21" s="14"/>
      <c r="F21" s="101"/>
      <c r="G21" s="101"/>
      <c r="H21" s="101" t="str">
        <f>IF(F21&lt;&gt;"",(VLOOKUP(B21,'Liste a câbles'!B:E,4,FALSE))/100*G21,"")</f>
        <v/>
      </c>
      <c r="I21" s="101"/>
      <c r="M21" s="41"/>
      <c r="N21" s="14"/>
    </row>
    <row r="22" spans="1:14" ht="13.5" customHeight="1" x14ac:dyDescent="0.25">
      <c r="A22" s="53" t="s">
        <v>76</v>
      </c>
      <c r="B22" s="48" t="s">
        <v>153</v>
      </c>
      <c r="C22" s="15" t="s">
        <v>150</v>
      </c>
      <c r="D22" s="15" t="s">
        <v>67</v>
      </c>
      <c r="E22" s="15" t="str">
        <f>VLOOKUP(B22,'Liste a câbles'!B:C,2,FALSE)</f>
        <v>0207</v>
      </c>
      <c r="F22" s="31" t="str">
        <f>VLOOKUP(B22,'Liste a câbles'!B:O,14,FALSE)</f>
        <v/>
      </c>
      <c r="G22" s="31" t="str">
        <f>VLOOKUP(B22,'Liste a câbles'!B:P,13,FALSE)</f>
        <v/>
      </c>
      <c r="H22" s="15" t="str">
        <f>IF(F22&lt;&gt;"",(VLOOKUP(B22,'Liste a câbles'!B:E,4,FALSE))/100*G22,"")</f>
        <v/>
      </c>
      <c r="I22" s="15"/>
      <c r="J22" s="15"/>
      <c r="K22" s="15" t="s">
        <v>179</v>
      </c>
      <c r="L22" s="15" t="s">
        <v>179</v>
      </c>
      <c r="M22" s="38">
        <v>41947</v>
      </c>
      <c r="N22" s="14"/>
    </row>
    <row r="23" spans="1:14" ht="13.5" customHeight="1" x14ac:dyDescent="0.25">
      <c r="B23" s="48" t="s">
        <v>62</v>
      </c>
      <c r="C23" s="15" t="s">
        <v>146</v>
      </c>
      <c r="D23" s="15" t="s">
        <v>67</v>
      </c>
      <c r="E23" s="15" t="str">
        <f>VLOOKUP(B23,'Liste a câbles'!B:C,2,FALSE)</f>
        <v>0208</v>
      </c>
      <c r="F23" s="31" t="str">
        <f>VLOOKUP(B23,'Liste a câbles'!B:O,14,FALSE)</f>
        <v/>
      </c>
      <c r="G23" s="31" t="str">
        <f>VLOOKUP(B23,'Liste a câbles'!B:P,13,FALSE)</f>
        <v/>
      </c>
      <c r="H23" s="15" t="str">
        <f>IF(F23&lt;&gt;"",(VLOOKUP(B23,'Liste a câbles'!B:E,4,FALSE))/100*G23,"")</f>
        <v/>
      </c>
      <c r="I23" s="15"/>
      <c r="J23" s="15"/>
      <c r="K23" s="15" t="s">
        <v>179</v>
      </c>
      <c r="L23" s="15" t="s">
        <v>179</v>
      </c>
      <c r="M23" s="38">
        <v>41718</v>
      </c>
      <c r="N23" s="14"/>
    </row>
    <row r="24" spans="1:14" ht="13.5" customHeight="1" x14ac:dyDescent="0.25">
      <c r="B24" s="48" t="s">
        <v>63</v>
      </c>
      <c r="C24" s="15" t="s">
        <v>146</v>
      </c>
      <c r="D24" s="15" t="s">
        <v>67</v>
      </c>
      <c r="E24" s="15" t="str">
        <f>VLOOKUP(B24,'Liste a câbles'!B:C,2,FALSE)</f>
        <v>0208/1</v>
      </c>
      <c r="F24" s="31">
        <f>VLOOKUP(B24,'Liste a câbles'!B:O,14,FALSE)</f>
        <v>0</v>
      </c>
      <c r="G24" s="31">
        <f>VLOOKUP(B24,'Liste a câbles'!B:P,13,FALSE)</f>
        <v>0</v>
      </c>
      <c r="H24" s="15">
        <f>IF(F24&lt;&gt;"",(VLOOKUP(B24,'Liste a câbles'!B:E,4,FALSE))/100*G24,"")</f>
        <v>0</v>
      </c>
      <c r="I24" s="15"/>
      <c r="J24" s="15"/>
      <c r="K24" s="15" t="s">
        <v>179</v>
      </c>
      <c r="L24" s="15" t="s">
        <v>179</v>
      </c>
      <c r="M24" s="38">
        <v>41718</v>
      </c>
      <c r="N24" s="14"/>
    </row>
    <row r="25" spans="1:14" ht="13.5" customHeight="1" x14ac:dyDescent="0.25">
      <c r="B25" s="48" t="s">
        <v>48</v>
      </c>
      <c r="C25" s="15" t="s">
        <v>151</v>
      </c>
      <c r="D25" s="15" t="s">
        <v>67</v>
      </c>
      <c r="E25" s="15" t="str">
        <f>VLOOKUP(B25,'Liste a câbles'!B:C,2,FALSE)</f>
        <v>0209</v>
      </c>
      <c r="F25" s="31" t="str">
        <f>VLOOKUP(B25,'Liste a câbles'!B:O,14,FALSE)</f>
        <v/>
      </c>
      <c r="G25" s="31" t="str">
        <f>VLOOKUP(B25,'Liste a câbles'!B:P,13,FALSE)</f>
        <v/>
      </c>
      <c r="H25" s="15" t="str">
        <f>IF(F25&lt;&gt;"",(VLOOKUP(B25,'Liste a câbles'!B:E,4,FALSE))/100*G25,"")</f>
        <v/>
      </c>
      <c r="I25" s="15"/>
      <c r="J25" s="15"/>
      <c r="K25" s="15"/>
      <c r="L25" s="15"/>
      <c r="M25" s="38"/>
      <c r="N25" s="14"/>
    </row>
    <row r="26" spans="1:14" ht="13.5" customHeight="1" x14ac:dyDescent="0.25">
      <c r="B26" s="48" t="s">
        <v>61</v>
      </c>
      <c r="C26" s="15" t="s">
        <v>152</v>
      </c>
      <c r="D26" s="15" t="s">
        <v>67</v>
      </c>
      <c r="E26" s="15" t="str">
        <f>VLOOKUP(B26,'Liste a câbles'!B:C,2,FALSE)</f>
        <v>0210</v>
      </c>
      <c r="F26" s="31">
        <f>VLOOKUP(B26,'Liste a câbles'!B:O,14,FALSE)</f>
        <v>0.93030150262671496</v>
      </c>
      <c r="G26" s="31">
        <f>VLOOKUP(B26,'Liste a câbles'!B:P,13,FALSE)</f>
        <v>3.95</v>
      </c>
      <c r="H26" s="15">
        <f>IF(F26&lt;&gt;"",(VLOOKUP(B26,'Liste a câbles'!B:E,4,FALSE))/100*G26,"")</f>
        <v>15.8</v>
      </c>
      <c r="I26" s="15"/>
      <c r="J26" s="15"/>
      <c r="K26" s="15"/>
      <c r="L26" s="15"/>
      <c r="M26" s="38"/>
      <c r="N26" s="14"/>
    </row>
    <row r="27" spans="1:14" ht="13.5" customHeight="1" x14ac:dyDescent="0.25">
      <c r="D27" s="14"/>
      <c r="E27" s="101"/>
      <c r="F27" s="101"/>
      <c r="G27" s="101"/>
      <c r="H27" s="101" t="str">
        <f>IF(F27&lt;&gt;"",(VLOOKUP(B27,'Liste a câbles'!B:E,4,FALSE))/100*G27,"")</f>
        <v/>
      </c>
      <c r="I27" s="101"/>
      <c r="M27" s="41"/>
      <c r="N27" s="14"/>
    </row>
    <row r="28" spans="1:14" ht="13.5" customHeight="1" x14ac:dyDescent="0.25">
      <c r="A28" s="53" t="s">
        <v>77</v>
      </c>
      <c r="B28" s="48" t="s">
        <v>49</v>
      </c>
      <c r="C28" s="15" t="s">
        <v>155</v>
      </c>
      <c r="D28" s="15" t="s">
        <v>67</v>
      </c>
      <c r="E28" s="15" t="str">
        <f>VLOOKUP(B28,'Liste a câbles'!B:C,2,FALSE)</f>
        <v>0211</v>
      </c>
      <c r="F28" s="31" t="str">
        <f>VLOOKUP(B28,'Liste a câbles'!B:O,14,FALSE)</f>
        <v/>
      </c>
      <c r="G28" s="31" t="str">
        <f>VLOOKUP(B28,'Liste a câbles'!B:P,13,FALSE)</f>
        <v/>
      </c>
      <c r="H28" s="15" t="str">
        <f>IF(F28&lt;&gt;"",(VLOOKUP(B28,'Liste a câbles'!B:E,4,FALSE))/100*G28,"")</f>
        <v/>
      </c>
      <c r="I28" s="15"/>
      <c r="J28" s="15"/>
      <c r="K28" s="15" t="s">
        <v>179</v>
      </c>
      <c r="L28" s="15" t="s">
        <v>179</v>
      </c>
      <c r="M28" s="38">
        <v>41947</v>
      </c>
      <c r="N28" s="14"/>
    </row>
    <row r="29" spans="1:14" ht="13.5" customHeight="1" x14ac:dyDescent="0.25">
      <c r="B29" s="48" t="s">
        <v>50</v>
      </c>
      <c r="C29" s="15" t="s">
        <v>147</v>
      </c>
      <c r="D29" s="15" t="s">
        <v>67</v>
      </c>
      <c r="E29" s="15" t="str">
        <f>VLOOKUP(B29,'Liste a câbles'!B:C,2,FALSE)</f>
        <v>0212</v>
      </c>
      <c r="F29" s="31" t="str">
        <f>VLOOKUP(B29,'Liste a câbles'!B:O,14,FALSE)</f>
        <v/>
      </c>
      <c r="G29" s="31" t="str">
        <f>VLOOKUP(B29,'Liste a câbles'!B:P,13,FALSE)</f>
        <v/>
      </c>
      <c r="H29" s="15" t="str">
        <f>IF(F29&lt;&gt;"",(VLOOKUP(B29,'Liste a câbles'!B:E,4,FALSE))/100*G29,"")</f>
        <v/>
      </c>
      <c r="I29" s="15"/>
      <c r="J29" s="15"/>
      <c r="K29" s="15" t="s">
        <v>179</v>
      </c>
      <c r="L29" s="15" t="s">
        <v>179</v>
      </c>
      <c r="M29" s="38">
        <v>41947</v>
      </c>
      <c r="N29" s="14"/>
    </row>
    <row r="30" spans="1:14" ht="13.5" customHeight="1" x14ac:dyDescent="0.25">
      <c r="B30" s="48" t="s">
        <v>25</v>
      </c>
      <c r="C30" s="15" t="s">
        <v>102</v>
      </c>
      <c r="D30" s="15" t="s">
        <v>184</v>
      </c>
      <c r="E30" s="15" t="str">
        <f>VLOOKUP(B30,'Liste a câbles'!B:C,2,FALSE)</f>
        <v>2205</v>
      </c>
      <c r="F30" s="31" t="str">
        <f>VLOOKUP(B30,'Liste a câbles'!B:O,14,FALSE)</f>
        <v/>
      </c>
      <c r="G30" s="31" t="str">
        <f>VLOOKUP(B30,'Liste a câbles'!B:P,13,FALSE)</f>
        <v/>
      </c>
      <c r="H30" s="15" t="str">
        <f>IF(F30&lt;&gt;"",(VLOOKUP(B30,'Liste a câbles'!B:E,4,FALSE))/100*G30,"")</f>
        <v/>
      </c>
      <c r="I30" s="15"/>
      <c r="J30" s="15"/>
      <c r="K30" s="15"/>
      <c r="L30" s="15" t="s">
        <v>179</v>
      </c>
      <c r="M30" s="38">
        <v>41529</v>
      </c>
      <c r="N30" s="14"/>
    </row>
    <row r="31" spans="1:14" ht="13.5" customHeight="1" x14ac:dyDescent="0.25">
      <c r="B31" s="48" t="s">
        <v>24</v>
      </c>
      <c r="C31" s="15" t="s">
        <v>156</v>
      </c>
      <c r="D31" s="15" t="s">
        <v>25</v>
      </c>
      <c r="E31" s="15" t="str">
        <f>VLOOKUP(B31,'Liste a câbles'!B:C,2,FALSE)</f>
        <v>2205/1</v>
      </c>
      <c r="F31" s="31" t="str">
        <f>VLOOKUP(B31,'Liste a câbles'!B:O,14,FALSE)</f>
        <v/>
      </c>
      <c r="G31" s="31" t="str">
        <f>VLOOKUP(B31,'Liste a câbles'!B:P,13,FALSE)</f>
        <v/>
      </c>
      <c r="H31" s="15" t="str">
        <f>IF(F31&lt;&gt;"",(VLOOKUP(B31,'Liste a câbles'!B:E,4,FALSE))/100*G31,"")</f>
        <v/>
      </c>
      <c r="I31" s="15"/>
      <c r="J31" s="15"/>
      <c r="K31" s="15"/>
      <c r="L31" s="15" t="s">
        <v>179</v>
      </c>
      <c r="M31" s="38">
        <v>41529</v>
      </c>
      <c r="N31" s="14"/>
    </row>
    <row r="32" spans="1:14" ht="13.5" customHeight="1" x14ac:dyDescent="0.25">
      <c r="B32" s="48" t="s">
        <v>26</v>
      </c>
      <c r="C32" s="15" t="s">
        <v>103</v>
      </c>
      <c r="D32" s="15" t="s">
        <v>184</v>
      </c>
      <c r="E32" s="15" t="str">
        <f>VLOOKUP(B32,'Liste a câbles'!B:C,2,FALSE)</f>
        <v>2206</v>
      </c>
      <c r="F32" s="31" t="str">
        <f>VLOOKUP(B32,'Liste a câbles'!B:O,14,FALSE)</f>
        <v/>
      </c>
      <c r="G32" s="31" t="str">
        <f>VLOOKUP(B32,'Liste a câbles'!B:P,13,FALSE)</f>
        <v/>
      </c>
      <c r="H32" s="15" t="str">
        <f>IF(F32&lt;&gt;"",(VLOOKUP(B32,'Liste a câbles'!B:E,4,FALSE))/100*G32,"")</f>
        <v/>
      </c>
      <c r="I32" s="15"/>
      <c r="J32" s="15"/>
      <c r="K32" s="15" t="s">
        <v>179</v>
      </c>
      <c r="L32" s="15" t="s">
        <v>179</v>
      </c>
      <c r="M32" s="38">
        <v>41947</v>
      </c>
      <c r="N32" s="14"/>
    </row>
    <row r="33" spans="1:14" ht="13.5" customHeight="1" x14ac:dyDescent="0.25">
      <c r="B33" s="48" t="s">
        <v>28</v>
      </c>
      <c r="C33" s="15" t="s">
        <v>89</v>
      </c>
      <c r="D33" s="15" t="s">
        <v>184</v>
      </c>
      <c r="E33" s="15" t="str">
        <f>VLOOKUP(B33,'Liste a câbles'!B:C,2,FALSE)</f>
        <v>2207</v>
      </c>
      <c r="F33" s="31">
        <f>VLOOKUP(B33,'Liste a câbles'!B:O,14,FALSE)</f>
        <v>2.0281844207806734</v>
      </c>
      <c r="G33" s="31">
        <f>VLOOKUP(B33,'Liste a câbles'!B:P,13,FALSE)</f>
        <v>1.9</v>
      </c>
      <c r="H33" s="15">
        <f>IF(F33&lt;&gt;"",(VLOOKUP(B33,'Liste a câbles'!B:E,4,FALSE))/100*G33,"")</f>
        <v>7.6</v>
      </c>
      <c r="I33" s="15"/>
      <c r="J33" s="15"/>
      <c r="K33" s="15" t="s">
        <v>179</v>
      </c>
      <c r="L33" s="15" t="s">
        <v>179</v>
      </c>
      <c r="M33" s="38"/>
      <c r="N33" s="14"/>
    </row>
    <row r="34" spans="1:14" ht="13.5" customHeight="1" x14ac:dyDescent="0.25">
      <c r="B34" s="48" t="s">
        <v>27</v>
      </c>
      <c r="C34" s="15" t="s">
        <v>105</v>
      </c>
      <c r="D34" s="15" t="s">
        <v>184</v>
      </c>
      <c r="E34" s="15" t="str">
        <f>VLOOKUP(B34,'Liste a câbles'!B:C,2,FALSE)</f>
        <v>2208</v>
      </c>
      <c r="F34" s="31" t="str">
        <f>VLOOKUP(B34,'Liste a câbles'!B:O,14,FALSE)</f>
        <v/>
      </c>
      <c r="G34" s="31" t="str">
        <f>VLOOKUP(B34,'Liste a câbles'!B:P,13,FALSE)</f>
        <v/>
      </c>
      <c r="H34" s="15" t="str">
        <f>IF(F34&lt;&gt;"",(VLOOKUP(B34,'Liste a câbles'!B:E,4,FALSE))/100*G34,"")</f>
        <v/>
      </c>
      <c r="I34" s="15"/>
      <c r="J34" s="15"/>
      <c r="K34" s="15"/>
      <c r="L34" s="15"/>
      <c r="M34" s="38"/>
      <c r="N34" s="14"/>
    </row>
    <row r="35" spans="1:14" ht="13.5" customHeight="1" x14ac:dyDescent="0.25">
      <c r="B35" s="48" t="s">
        <v>134</v>
      </c>
      <c r="C35" s="15" t="s">
        <v>110</v>
      </c>
      <c r="D35" s="15" t="s">
        <v>67</v>
      </c>
      <c r="E35" s="15" t="str">
        <f>VLOOKUP(B35,'Liste a câbles'!B:C,2,FALSE)</f>
        <v>0213</v>
      </c>
      <c r="F35" s="31" t="str">
        <f>VLOOKUP(B35,'Liste a câbles'!B:O,14,FALSE)</f>
        <v/>
      </c>
      <c r="G35" s="31" t="str">
        <f>VLOOKUP(B35,'Liste a câbles'!B:P,13,FALSE)</f>
        <v/>
      </c>
      <c r="H35" s="15" t="str">
        <f>IF(F35&lt;&gt;"",(VLOOKUP(B35,'Liste a câbles'!B:E,4,FALSE))/100*G35,"")</f>
        <v/>
      </c>
      <c r="I35" s="15"/>
      <c r="J35" s="15"/>
      <c r="K35" s="15"/>
      <c r="L35" s="15"/>
      <c r="M35" s="38"/>
      <c r="N35" s="14"/>
    </row>
    <row r="36" spans="1:14" ht="13.5" customHeight="1" x14ac:dyDescent="0.25">
      <c r="D36" s="14"/>
      <c r="E36" s="101"/>
      <c r="F36" s="101"/>
      <c r="G36" s="101"/>
      <c r="H36" s="101" t="str">
        <f>IF(F36&lt;&gt;"",(VLOOKUP(B36,'Liste a câbles'!B:E,4,FALSE))/100*G36,"")</f>
        <v/>
      </c>
      <c r="I36" s="101"/>
      <c r="M36" s="41"/>
      <c r="N36" s="14"/>
    </row>
    <row r="37" spans="1:14" ht="13.5" customHeight="1" x14ac:dyDescent="0.25">
      <c r="A37" s="15" t="s">
        <v>80</v>
      </c>
      <c r="B37" s="60" t="s">
        <v>56</v>
      </c>
      <c r="C37" s="15" t="s">
        <v>111</v>
      </c>
      <c r="D37" s="15" t="s">
        <v>113</v>
      </c>
      <c r="E37" s="15" t="str">
        <f>VLOOKUP(B37,'Liste a câbles'!B:C,2,FALSE)</f>
        <v>2501</v>
      </c>
      <c r="F37" s="31" t="str">
        <f>VLOOKUP(B37,'Liste a câbles'!B:O,14,FALSE)</f>
        <v/>
      </c>
      <c r="G37" s="31" t="str">
        <f>VLOOKUP(B37,'Liste a câbles'!B:P,13,FALSE)</f>
        <v/>
      </c>
      <c r="H37" s="15" t="str">
        <f>IF(F37&lt;&gt;"",(VLOOKUP(B37,'Liste a câbles'!B:E,4,FALSE))/100*G37,"")</f>
        <v/>
      </c>
      <c r="I37" s="15"/>
      <c r="J37" s="15"/>
      <c r="K37" s="15" t="s">
        <v>179</v>
      </c>
      <c r="L37" s="15" t="s">
        <v>179</v>
      </c>
      <c r="M37" s="38">
        <v>41947</v>
      </c>
      <c r="N37" s="14"/>
    </row>
    <row r="38" spans="1:14" ht="13.5" customHeight="1" x14ac:dyDescent="0.25">
      <c r="B38" s="48" t="s">
        <v>57</v>
      </c>
      <c r="C38" s="15" t="s">
        <v>112</v>
      </c>
      <c r="D38" s="15" t="s">
        <v>113</v>
      </c>
      <c r="E38" s="15" t="str">
        <f>VLOOKUP(B38,'Liste a câbles'!B:C,2,FALSE)</f>
        <v>2502</v>
      </c>
      <c r="F38" s="31" t="str">
        <f>VLOOKUP(B38,'Liste a câbles'!B:O,14,FALSE)</f>
        <v/>
      </c>
      <c r="G38" s="31" t="str">
        <f>VLOOKUP(B38,'Liste a câbles'!B:P,13,FALSE)</f>
        <v/>
      </c>
      <c r="H38" s="15" t="str">
        <f>IF(F38&lt;&gt;"",(VLOOKUP(B38,'Liste a câbles'!B:E,4,FALSE))/100*G38,"")</f>
        <v/>
      </c>
      <c r="I38" s="15"/>
      <c r="J38" s="15"/>
      <c r="K38" s="15" t="s">
        <v>179</v>
      </c>
      <c r="L38" s="15" t="s">
        <v>179</v>
      </c>
      <c r="M38" s="38">
        <v>41947</v>
      </c>
      <c r="N38" s="14"/>
    </row>
    <row r="39" spans="1:14" ht="13.5" customHeight="1" x14ac:dyDescent="0.25">
      <c r="D39" s="14"/>
      <c r="F39" s="101"/>
      <c r="G39" s="101"/>
      <c r="H39" s="101" t="str">
        <f>IF(F39&lt;&gt;"",(VLOOKUP(B39,'Liste a câbles'!B:E,4,FALSE))/100*G39,"")</f>
        <v/>
      </c>
      <c r="M39" s="41"/>
      <c r="N39" s="14"/>
    </row>
    <row r="40" spans="1:14" ht="13.5" customHeight="1" x14ac:dyDescent="0.25">
      <c r="A40" s="15" t="s">
        <v>83</v>
      </c>
      <c r="B40" s="60" t="s">
        <v>19</v>
      </c>
      <c r="C40" s="15" t="s">
        <v>130</v>
      </c>
      <c r="D40" s="15" t="s">
        <v>129</v>
      </c>
      <c r="E40" s="15" t="str">
        <f>VLOOKUP(B40,'Liste a câbles'!B:C,2,FALSE)</f>
        <v>2301</v>
      </c>
      <c r="F40" s="31">
        <f>VLOOKUP(B40,'Liste a câbles'!B:O,14,FALSE)</f>
        <v>5.1620490975052906</v>
      </c>
      <c r="G40" s="31">
        <f>VLOOKUP(B40,'Liste a câbles'!B:P,13,FALSE)</f>
        <v>1.1400000000000001</v>
      </c>
      <c r="H40" s="15">
        <f>IF(F40&lt;&gt;"",(VLOOKUP(B40,'Liste a câbles'!B:E,4,FALSE))/100*G40,"")</f>
        <v>4.5600000000000005</v>
      </c>
      <c r="I40" s="15"/>
      <c r="J40" s="15"/>
      <c r="K40" s="15" t="s">
        <v>179</v>
      </c>
      <c r="L40" s="15"/>
      <c r="M40" s="38"/>
      <c r="N40" s="14"/>
    </row>
    <row r="41" spans="1:14" ht="13.5" customHeight="1" x14ac:dyDescent="0.25">
      <c r="B41" s="48" t="s">
        <v>21</v>
      </c>
      <c r="C41" s="15" t="s">
        <v>131</v>
      </c>
      <c r="D41" s="15" t="s">
        <v>129</v>
      </c>
      <c r="E41" s="15" t="str">
        <f>VLOOKUP(B41,'Liste a câbles'!B:C,2,FALSE)</f>
        <v>2302</v>
      </c>
      <c r="F41" s="31">
        <f>VLOOKUP(B41,'Liste a câbles'!B:O,14,FALSE)</f>
        <v>5.1620490975052906</v>
      </c>
      <c r="G41" s="31">
        <f>VLOOKUP(B41,'Liste a câbles'!B:P,13,FALSE)</f>
        <v>1.1400000000000001</v>
      </c>
      <c r="H41" s="15">
        <f>IF(F41&lt;&gt;"",(VLOOKUP(B41,'Liste a câbles'!B:E,4,FALSE))/100*G41,"")</f>
        <v>4.5600000000000005</v>
      </c>
      <c r="I41" s="15"/>
      <c r="J41" s="15"/>
      <c r="K41" s="15" t="s">
        <v>179</v>
      </c>
      <c r="L41" s="15" t="s">
        <v>179</v>
      </c>
      <c r="M41" s="38">
        <v>41718</v>
      </c>
      <c r="N41" s="14"/>
    </row>
    <row r="42" spans="1:14" ht="13.5" customHeight="1" x14ac:dyDescent="0.25">
      <c r="B42" s="48" t="s">
        <v>22</v>
      </c>
      <c r="C42" s="15" t="s">
        <v>132</v>
      </c>
      <c r="D42" s="15" t="s">
        <v>129</v>
      </c>
      <c r="E42" s="15" t="str">
        <f>VLOOKUP(B42,'Liste a câbles'!B:C,2,FALSE)</f>
        <v>2303</v>
      </c>
      <c r="F42" s="31">
        <f>VLOOKUP(B42,'Liste a câbles'!B:O,14,FALSE)</f>
        <v>5.1620490975052906</v>
      </c>
      <c r="G42" s="31">
        <f>VLOOKUP(B42,'Liste a câbles'!B:P,13,FALSE)</f>
        <v>1.1400000000000001</v>
      </c>
      <c r="H42" s="15">
        <f>IF(F42&lt;&gt;"",(VLOOKUP(B42,'Liste a câbles'!B:E,4,FALSE))/100*G42,"")</f>
        <v>4.5600000000000005</v>
      </c>
      <c r="I42" s="15"/>
      <c r="J42" s="15"/>
      <c r="K42" s="15" t="s">
        <v>179</v>
      </c>
      <c r="L42" s="15" t="s">
        <v>179</v>
      </c>
      <c r="M42" s="38">
        <v>41718</v>
      </c>
      <c r="N42" s="14"/>
    </row>
    <row r="43" spans="1:14" ht="13.5" customHeight="1" x14ac:dyDescent="0.25">
      <c r="B43" s="48" t="s">
        <v>160</v>
      </c>
      <c r="C43" s="15" t="s">
        <v>135</v>
      </c>
      <c r="D43" s="15" t="s">
        <v>129</v>
      </c>
      <c r="E43" s="29" t="str">
        <f>VLOOKUP(B43,'Liste a câbles'!B:C,2,FALSE)</f>
        <v>2304</v>
      </c>
      <c r="F43" s="31" t="str">
        <f>VLOOKUP(B43,'Liste a câbles'!B:O,14,FALSE)</f>
        <v/>
      </c>
      <c r="G43" s="31" t="str">
        <f>VLOOKUP(B43,'Liste a câbles'!B:P,13,FALSE)</f>
        <v/>
      </c>
      <c r="H43" s="15" t="str">
        <f>IF(F43&lt;&gt;"",(VLOOKUP(B43,'Liste a câbles'!B:E,4,FALSE))/100*G43,"")</f>
        <v/>
      </c>
      <c r="I43" s="15"/>
      <c r="J43" s="15"/>
      <c r="K43" s="15"/>
      <c r="L43" s="15"/>
      <c r="M43" s="38"/>
      <c r="N43" s="14"/>
    </row>
    <row r="44" spans="1:14" ht="13.5" customHeight="1" x14ac:dyDescent="0.25">
      <c r="B44" s="48" t="s">
        <v>141</v>
      </c>
      <c r="C44" s="15" t="s">
        <v>157</v>
      </c>
      <c r="D44" s="53" t="s">
        <v>129</v>
      </c>
      <c r="E44" s="15" t="str">
        <f>VLOOKUP(B44,'Liste a câbles'!B:C,2,FALSE)</f>
        <v>2305</v>
      </c>
      <c r="F44" s="31">
        <f>VLOOKUP(B44,'Liste a câbles'!B:O,14,FALSE)</f>
        <v>6.9865078555748941</v>
      </c>
      <c r="G44" s="31">
        <f>VLOOKUP(B44,'Liste a câbles'!B:P,13,FALSE)</f>
        <v>0.97000000000000008</v>
      </c>
      <c r="H44" s="15">
        <f>IF(F44&lt;&gt;"",(VLOOKUP(B44,'Liste a câbles'!B:E,4,FALSE))/100*G44,"")</f>
        <v>3.8800000000000003</v>
      </c>
      <c r="I44" s="15"/>
      <c r="J44" s="15"/>
      <c r="K44" s="15" t="s">
        <v>179</v>
      </c>
      <c r="L44" s="15"/>
      <c r="M44" s="38"/>
      <c r="N44" s="14"/>
    </row>
    <row r="45" spans="1:14" ht="13.5" customHeight="1" x14ac:dyDescent="0.25">
      <c r="B45" s="48" t="s">
        <v>39</v>
      </c>
      <c r="C45" s="15" t="s">
        <v>136</v>
      </c>
      <c r="D45" s="15" t="s">
        <v>137</v>
      </c>
      <c r="E45" s="91" t="str">
        <f>VLOOKUP(B45,'Liste a câbles'!B:C,2,FALSE)</f>
        <v>2601</v>
      </c>
      <c r="F45" s="31">
        <f>VLOOKUP(B45,'Liste a câbles'!B:O,14,FALSE)</f>
        <v>2.7828098045306344</v>
      </c>
      <c r="G45" s="31">
        <f>VLOOKUP(B45,'Liste a câbles'!B:P,13,FALSE)</f>
        <v>1.8800000000000001</v>
      </c>
      <c r="H45" s="15">
        <f>IF(F45&lt;&gt;"",(VLOOKUP(B45,'Liste a câbles'!B:E,4,FALSE))/100*G45,"")</f>
        <v>7.5200000000000005</v>
      </c>
      <c r="I45" s="15"/>
      <c r="J45" s="15"/>
      <c r="K45" s="15"/>
      <c r="L45" s="15"/>
      <c r="M45" s="38"/>
      <c r="N45" s="14"/>
    </row>
    <row r="46" spans="1:14" ht="13.5" customHeight="1" x14ac:dyDescent="0.25">
      <c r="B46" s="48" t="s">
        <v>138</v>
      </c>
      <c r="C46" s="15" t="s">
        <v>139</v>
      </c>
      <c r="D46" s="15" t="s">
        <v>137</v>
      </c>
      <c r="E46" s="15" t="str">
        <f>VLOOKUP(B46,'Liste a câbles'!B:C,2,FALSE)</f>
        <v>2602</v>
      </c>
      <c r="F46" s="31">
        <f>VLOOKUP(B46,'Liste a câbles'!B:O,14,FALSE)</f>
        <v>4.0449284560361445</v>
      </c>
      <c r="G46" s="31">
        <f>VLOOKUP(B46,'Liste a câbles'!B:P,13,FALSE)</f>
        <v>1.56</v>
      </c>
      <c r="H46" s="15">
        <f>IF(F46&lt;&gt;"",(VLOOKUP(B46,'Liste a câbles'!B:E,4,FALSE))/100*G46,"")</f>
        <v>6.24</v>
      </c>
      <c r="I46" s="15"/>
      <c r="J46" s="15"/>
      <c r="K46" s="15" t="s">
        <v>179</v>
      </c>
      <c r="L46" s="15"/>
      <c r="M46" s="38"/>
      <c r="N46" s="14"/>
    </row>
    <row r="47" spans="1:14" ht="13.5" customHeight="1" x14ac:dyDescent="0.25">
      <c r="B47" s="48" t="s">
        <v>164</v>
      </c>
      <c r="C47" s="15" t="s">
        <v>162</v>
      </c>
      <c r="D47" s="15" t="s">
        <v>138</v>
      </c>
      <c r="E47" s="15" t="str">
        <f>VLOOKUP(B47,'Liste a câbles'!B:C,2,FALSE)</f>
        <v>2602/1</v>
      </c>
      <c r="F47" s="31">
        <f>VLOOKUP(B47,'Liste a câbles'!B:O,14,FALSE)</f>
        <v>1.042484254268395</v>
      </c>
      <c r="G47" s="31">
        <f>VLOOKUP(B47,'Liste a câbles'!B:P,13,FALSE)</f>
        <v>2.38</v>
      </c>
      <c r="H47" s="15">
        <f>IF(F47&lt;&gt;"",(VLOOKUP(B47,'Liste a câbles'!B:E,4,FALSE))/100*G47,"")</f>
        <v>5.4739999999999993</v>
      </c>
      <c r="I47" s="15"/>
      <c r="J47" s="15"/>
      <c r="K47" s="15" t="s">
        <v>179</v>
      </c>
      <c r="L47" s="15"/>
      <c r="M47" s="38"/>
      <c r="N47" s="14"/>
    </row>
    <row r="48" spans="1:14" ht="13.5" customHeight="1" x14ac:dyDescent="0.25">
      <c r="B48" s="48" t="s">
        <v>165</v>
      </c>
      <c r="C48" s="15" t="s">
        <v>163</v>
      </c>
      <c r="D48" s="15" t="s">
        <v>138</v>
      </c>
      <c r="E48" s="15" t="str">
        <f>VLOOKUP(B48,'Liste a câbles'!B:C,2,FALSE)</f>
        <v>2602/2</v>
      </c>
      <c r="F48" s="31">
        <f>VLOOKUP(B48,'Liste a câbles'!B:O,14,FALSE)</f>
        <v>1.042484254268395</v>
      </c>
      <c r="G48" s="31">
        <f>VLOOKUP(B48,'Liste a câbles'!B:P,13,FALSE)</f>
        <v>2.38</v>
      </c>
      <c r="H48" s="15">
        <f>IF(F48&lt;&gt;"",(VLOOKUP(B48,'Liste a câbles'!B:E,4,FALSE))/100*G48,"")</f>
        <v>5.4739999999999993</v>
      </c>
      <c r="I48" s="15"/>
      <c r="J48" s="15"/>
      <c r="K48" s="15" t="s">
        <v>179</v>
      </c>
      <c r="L48" s="15"/>
      <c r="M48" s="38"/>
      <c r="N48" s="14"/>
    </row>
    <row r="49" spans="1:14" ht="13.5" customHeight="1" x14ac:dyDescent="0.25">
      <c r="B49" s="48" t="s">
        <v>17</v>
      </c>
      <c r="C49" s="15" t="s">
        <v>158</v>
      </c>
      <c r="D49" s="15" t="s">
        <v>137</v>
      </c>
      <c r="E49" s="15" t="str">
        <f>VLOOKUP(B49,'Liste a câbles'!B:C,2,FALSE)</f>
        <v>2603</v>
      </c>
      <c r="F49" s="31">
        <f>VLOOKUP(B49,'Liste a câbles'!B:O,14,FALSE)</f>
        <v>2.5138751140849602</v>
      </c>
      <c r="G49" s="31">
        <f>VLOOKUP(B49,'Liste a câbles'!B:P,13,FALSE)</f>
        <v>1.9900000000000002</v>
      </c>
      <c r="H49" s="15">
        <f>IF(F49&lt;&gt;"",(VLOOKUP(B49,'Liste a câbles'!B:E,4,FALSE))/100*G49,"")</f>
        <v>7.9600000000000009</v>
      </c>
      <c r="I49" s="15"/>
      <c r="J49" s="15"/>
      <c r="K49" s="15" t="s">
        <v>179</v>
      </c>
      <c r="L49" s="15" t="s">
        <v>179</v>
      </c>
      <c r="M49" s="38"/>
      <c r="N49" s="14"/>
    </row>
    <row r="50" spans="1:14" ht="13.5" customHeight="1" x14ac:dyDescent="0.25">
      <c r="B50" s="48" t="s">
        <v>142</v>
      </c>
      <c r="C50" s="15" t="s">
        <v>143</v>
      </c>
      <c r="D50" s="15" t="s">
        <v>137</v>
      </c>
      <c r="E50" s="15" t="str">
        <f>VLOOKUP(B50,'Liste a câbles'!B:C,2,FALSE)</f>
        <v>2604</v>
      </c>
      <c r="F50" s="31">
        <f>VLOOKUP(B50,'Liste a câbles'!B:O,14,FALSE)</f>
        <v>3.1122179826876875</v>
      </c>
      <c r="G50" s="31">
        <f>VLOOKUP(B50,'Liste a câbles'!B:P,13,FALSE)</f>
        <v>1.78</v>
      </c>
      <c r="H50" s="15">
        <f>IF(F50&lt;&gt;"",(VLOOKUP(B50,'Liste a câbles'!B:E,4,FALSE))/100*G50,"")</f>
        <v>7.12</v>
      </c>
      <c r="I50" s="15"/>
      <c r="J50" s="15"/>
      <c r="K50" s="15" t="s">
        <v>179</v>
      </c>
      <c r="L50" s="15" t="s">
        <v>179</v>
      </c>
      <c r="M50" s="38">
        <v>41947</v>
      </c>
      <c r="N50" s="14"/>
    </row>
    <row r="51" spans="1:14" ht="13.5" customHeight="1" x14ac:dyDescent="0.25">
      <c r="B51" s="48" t="s">
        <v>20</v>
      </c>
      <c r="C51" s="15" t="s">
        <v>159</v>
      </c>
      <c r="D51" s="15" t="s">
        <v>137</v>
      </c>
      <c r="E51" s="15" t="str">
        <f>VLOOKUP(B51,'Liste a câbles'!B:C,2,FALSE)</f>
        <v>2605</v>
      </c>
      <c r="F51" s="31">
        <f>VLOOKUP(B51,'Liste a câbles'!B:O,14,FALSE)</f>
        <v>2.5138751140849602</v>
      </c>
      <c r="G51" s="31">
        <f>VLOOKUP(B51,'Liste a câbles'!B:P,13,FALSE)</f>
        <v>1.9900000000000002</v>
      </c>
      <c r="H51" s="15">
        <f>IF(F51&lt;&gt;"",(VLOOKUP(B51,'Liste a câbles'!B:E,4,FALSE))/100*G51,"")</f>
        <v>7.9600000000000009</v>
      </c>
      <c r="I51" s="15"/>
      <c r="J51" s="15"/>
      <c r="K51" s="15" t="s">
        <v>179</v>
      </c>
      <c r="L51" s="15" t="s">
        <v>179</v>
      </c>
      <c r="M51" s="38"/>
      <c r="N51" s="14"/>
    </row>
    <row r="52" spans="1:14" ht="13.5" customHeight="1" x14ac:dyDescent="0.25">
      <c r="B52" s="48" t="s">
        <v>16</v>
      </c>
      <c r="C52" s="15" t="s">
        <v>197</v>
      </c>
      <c r="D52" s="15" t="s">
        <v>137</v>
      </c>
      <c r="E52" s="29" t="str">
        <f>VLOOKUP(B52,'Liste a câbles'!B:C,2,FALSE)</f>
        <v>2606</v>
      </c>
      <c r="F52" s="31">
        <f>VLOOKUP(B52,'Liste a câbles'!B:O,14,FALSE)</f>
        <v>1.8052569485754482</v>
      </c>
      <c r="G52" s="31">
        <f>VLOOKUP(B52,'Liste a câbles'!B:P,13,FALSE)</f>
        <v>2.42</v>
      </c>
      <c r="H52" s="15">
        <f>IF(F52&lt;&gt;"",(VLOOKUP(B52,'Liste a câbles'!B:E,4,FALSE))/100*G52,"")</f>
        <v>9.68</v>
      </c>
      <c r="I52" s="29"/>
      <c r="J52" s="29"/>
      <c r="K52" s="29" t="s">
        <v>179</v>
      </c>
      <c r="L52" s="29" t="s">
        <v>179</v>
      </c>
      <c r="M52" s="39"/>
      <c r="N52" s="14"/>
    </row>
    <row r="53" spans="1:14" ht="13.5" customHeight="1" x14ac:dyDescent="0.25">
      <c r="B53" s="48" t="s">
        <v>15</v>
      </c>
      <c r="C53" s="53" t="s">
        <v>198</v>
      </c>
      <c r="D53" s="15" t="s">
        <v>137</v>
      </c>
      <c r="E53" s="15" t="str">
        <f>VLOOKUP(B53,'Liste a câbles'!B:C,2,FALSE)</f>
        <v>2607</v>
      </c>
      <c r="F53" s="31">
        <f>VLOOKUP(B53,'Liste a câbles'!B:O,14,FALSE)</f>
        <v>2.5138751140849602</v>
      </c>
      <c r="G53" s="31">
        <f>VLOOKUP(B53,'Liste a câbles'!B:P,13,FALSE)</f>
        <v>1.9900000000000002</v>
      </c>
      <c r="H53" s="15">
        <f>IF(F53&lt;&gt;"",(VLOOKUP(B53,'Liste a câbles'!B:E,4,FALSE))/100*G53,"")</f>
        <v>7.9600000000000009</v>
      </c>
      <c r="I53" s="15"/>
      <c r="J53" s="15"/>
      <c r="K53" s="15" t="s">
        <v>179</v>
      </c>
      <c r="L53" s="15" t="s">
        <v>179</v>
      </c>
      <c r="M53" s="38"/>
      <c r="N53" s="14"/>
    </row>
    <row r="54" spans="1:14" ht="13.5" customHeight="1" x14ac:dyDescent="0.25">
      <c r="B54" s="49"/>
      <c r="C54" s="16"/>
      <c r="D54" s="16"/>
      <c r="E54" s="16"/>
      <c r="F54" s="33"/>
      <c r="G54" s="33"/>
      <c r="H54" s="102" t="str">
        <f>IF(F54&lt;&gt;"",(VLOOKUP(B54,'Liste a câbles'!B:E,4,FALSE))/100*G54,"")</f>
        <v/>
      </c>
      <c r="I54" s="16"/>
      <c r="J54" s="16"/>
      <c r="K54" s="16"/>
      <c r="L54" s="16"/>
      <c r="M54" s="40"/>
      <c r="N54" s="14"/>
    </row>
    <row r="55" spans="1:14" ht="13.5" customHeight="1" x14ac:dyDescent="0.25">
      <c r="B55" s="49"/>
      <c r="C55" s="16"/>
      <c r="D55" s="16"/>
      <c r="E55" s="16"/>
      <c r="F55" s="33"/>
      <c r="G55" s="12"/>
      <c r="H55" s="12" t="str">
        <f>IF(F55&lt;&gt;"",(VLOOKUP(B55,'Liste a câbles'!B:E,4,FALSE))/100*G55,"")</f>
        <v/>
      </c>
      <c r="I55" s="16"/>
      <c r="J55" s="16"/>
      <c r="K55" s="16"/>
      <c r="L55" s="16"/>
      <c r="M55" s="40"/>
      <c r="N55" s="14"/>
    </row>
    <row r="56" spans="1:14" ht="13.5" customHeight="1" x14ac:dyDescent="0.25">
      <c r="B56" s="49"/>
      <c r="C56" s="16"/>
      <c r="D56" s="16"/>
      <c r="E56" s="16"/>
      <c r="F56" s="33"/>
      <c r="G56" s="24"/>
      <c r="H56" s="24" t="str">
        <f>IF(F56&lt;&gt;"",(VLOOKUP(B56,'Liste a câbles'!B:E,4,FALSE))/100*G56,"")</f>
        <v/>
      </c>
      <c r="I56" s="16"/>
      <c r="J56" s="16"/>
      <c r="K56" s="16"/>
      <c r="L56" s="16"/>
      <c r="M56" s="40"/>
      <c r="N56" s="14"/>
    </row>
    <row r="57" spans="1:14" ht="41.25" customHeight="1" x14ac:dyDescent="0.25">
      <c r="B57" s="49"/>
      <c r="C57" s="16"/>
      <c r="D57" s="18" t="s">
        <v>340</v>
      </c>
      <c r="E57" s="18" t="s">
        <v>341</v>
      </c>
      <c r="F57" s="35" t="s">
        <v>183</v>
      </c>
      <c r="G57" s="35" t="s">
        <v>344</v>
      </c>
      <c r="H57" s="18" t="s">
        <v>339</v>
      </c>
      <c r="I57" s="18" t="s">
        <v>348</v>
      </c>
      <c r="J57" s="18" t="s">
        <v>224</v>
      </c>
      <c r="K57" s="18" t="s">
        <v>223</v>
      </c>
      <c r="L57" s="18" t="s">
        <v>173</v>
      </c>
      <c r="M57" s="45" t="s">
        <v>172</v>
      </c>
      <c r="N57" s="14"/>
    </row>
    <row r="58" spans="1:14" ht="13.5" customHeight="1" x14ac:dyDescent="0.25">
      <c r="A58" s="15" t="s">
        <v>84</v>
      </c>
      <c r="B58" s="48" t="s">
        <v>51</v>
      </c>
      <c r="C58" s="15" t="s">
        <v>84</v>
      </c>
      <c r="D58" s="15" t="s">
        <v>67</v>
      </c>
      <c r="E58" s="15" t="str">
        <f>VLOOKUP(B58,'Liste a câbles'!B:C,2,FALSE)</f>
        <v>0214</v>
      </c>
      <c r="F58" s="31" t="str">
        <f>VLOOKUP(B58,'Liste a câbles'!B:O,14,FALSE)</f>
        <v/>
      </c>
      <c r="G58" s="31" t="str">
        <f>VLOOKUP(B58,'Liste a câbles'!B:P,13,FALSE)</f>
        <v/>
      </c>
      <c r="H58" s="15" t="str">
        <f>IF(F58&lt;&gt;"",(VLOOKUP(B58,'Liste a câbles'!B:E,4,FALSE))/100*G58,"")</f>
        <v/>
      </c>
      <c r="I58" s="15"/>
      <c r="J58" s="15"/>
      <c r="K58" s="15" t="s">
        <v>179</v>
      </c>
      <c r="L58" s="15"/>
      <c r="M58" s="38"/>
      <c r="N58" s="14"/>
    </row>
    <row r="59" spans="1:14" ht="13.5" customHeight="1" x14ac:dyDescent="0.25">
      <c r="B59" s="48" t="s">
        <v>60</v>
      </c>
      <c r="C59" s="15" t="s">
        <v>166</v>
      </c>
      <c r="D59" s="15" t="s">
        <v>67</v>
      </c>
      <c r="E59" s="15" t="str">
        <f>VLOOKUP(B59,'Liste a câbles'!B:C,2,FALSE)</f>
        <v>0215</v>
      </c>
      <c r="F59" s="31" t="str">
        <f>VLOOKUP(B59,'Liste a câbles'!B:O,14,FALSE)</f>
        <v/>
      </c>
      <c r="G59" s="31" t="str">
        <f>VLOOKUP(B59,'Liste a câbles'!B:P,13,FALSE)</f>
        <v/>
      </c>
      <c r="H59" s="15" t="str">
        <f>IF(F59&lt;&gt;"",(VLOOKUP(B59,'Liste a câbles'!B:E,4,FALSE))/100*G59,"")</f>
        <v/>
      </c>
      <c r="I59" s="15"/>
      <c r="J59" s="15"/>
      <c r="K59" s="15"/>
      <c r="L59" s="15" t="s">
        <v>179</v>
      </c>
      <c r="M59" s="38">
        <v>41718</v>
      </c>
      <c r="N59" s="14"/>
    </row>
    <row r="60" spans="1:14" ht="13.5" customHeight="1" x14ac:dyDescent="0.25">
      <c r="D60" s="14"/>
      <c r="E60" s="101"/>
      <c r="F60" s="101"/>
      <c r="G60" s="101"/>
      <c r="H60" s="101" t="str">
        <f>IF(F60&lt;&gt;"",(VLOOKUP(B60,'Liste a câbles'!B:E,4,FALSE))/100*G60,"")</f>
        <v/>
      </c>
      <c r="M60" s="41"/>
      <c r="N60" s="14"/>
    </row>
    <row r="61" spans="1:14" ht="13.5" customHeight="1" x14ac:dyDescent="0.25">
      <c r="A61" s="15" t="s">
        <v>85</v>
      </c>
      <c r="B61" s="60" t="s">
        <v>53</v>
      </c>
      <c r="C61" s="15" t="s">
        <v>191</v>
      </c>
      <c r="D61" s="15" t="s">
        <v>101</v>
      </c>
      <c r="E61" s="15" t="str">
        <f>VLOOKUP(B61,'Liste a câbles'!B:C,2,FALSE)</f>
        <v>2101</v>
      </c>
      <c r="F61" s="31">
        <f>VLOOKUP(B61,'Liste a câbles'!B:O,14,FALSE)</f>
        <v>2.9898270662256601</v>
      </c>
      <c r="G61" s="31">
        <f>VLOOKUP(B61,'Liste a câbles'!B:P,13,FALSE)</f>
        <v>2.25</v>
      </c>
      <c r="H61" s="15">
        <f>IF(F61&lt;&gt;"",(VLOOKUP(B61,'Liste a câbles'!B:E,4,FALSE))/100*G61,"")</f>
        <v>9</v>
      </c>
      <c r="I61" s="15">
        <v>463</v>
      </c>
      <c r="J61" s="15"/>
      <c r="K61" s="15" t="s">
        <v>179</v>
      </c>
      <c r="L61" s="15" t="s">
        <v>179</v>
      </c>
      <c r="M61" s="38">
        <v>41718</v>
      </c>
      <c r="N61" s="14"/>
    </row>
    <row r="62" spans="1:14" ht="13.5" customHeight="1" x14ac:dyDescent="0.25">
      <c r="B62" s="48" t="s">
        <v>54</v>
      </c>
      <c r="C62" s="15" t="s">
        <v>192</v>
      </c>
      <c r="D62" s="15" t="s">
        <v>101</v>
      </c>
      <c r="E62" s="15" t="str">
        <f>VLOOKUP(B62,'Liste a câbles'!B:C,2,FALSE)</f>
        <v>2102</v>
      </c>
      <c r="F62" s="31" t="str">
        <f>VLOOKUP(B62,'Liste a câbles'!B:O,14,FALSE)</f>
        <v/>
      </c>
      <c r="G62" s="31" t="str">
        <f>VLOOKUP(B62,'Liste a câbles'!B:P,13,FALSE)</f>
        <v/>
      </c>
      <c r="H62" s="15" t="str">
        <f>IF(F62&lt;&gt;"",(VLOOKUP(B62,'Liste a câbles'!B:E,4,FALSE))/100*G62,"")</f>
        <v/>
      </c>
      <c r="I62" s="15">
        <v>420</v>
      </c>
      <c r="J62" s="15"/>
      <c r="K62" s="15" t="s">
        <v>179</v>
      </c>
      <c r="L62" s="15"/>
      <c r="M62" s="38"/>
      <c r="N62" s="14"/>
    </row>
    <row r="63" spans="1:14" ht="13.5" customHeight="1" x14ac:dyDescent="0.25">
      <c r="B63" s="48" t="s">
        <v>55</v>
      </c>
      <c r="C63" s="15" t="s">
        <v>193</v>
      </c>
      <c r="D63" s="15" t="s">
        <v>101</v>
      </c>
      <c r="E63" s="15" t="str">
        <f>VLOOKUP(B63,'Liste a câbles'!B:C,2,FALSE)</f>
        <v>2103</v>
      </c>
      <c r="F63" s="31" t="str">
        <f>VLOOKUP(B63,'Liste a câbles'!B:O,14,FALSE)</f>
        <v/>
      </c>
      <c r="G63" s="31" t="str">
        <f>VLOOKUP(B63,'Liste a câbles'!B:P,13,FALSE)</f>
        <v/>
      </c>
      <c r="H63" s="15" t="str">
        <f>IF(F63&lt;&gt;"",(VLOOKUP(B63,'Liste a câbles'!B:E,4,FALSE))/100*G63,"")</f>
        <v/>
      </c>
      <c r="I63" s="15">
        <v>432</v>
      </c>
      <c r="J63" s="15"/>
      <c r="K63" s="15" t="s">
        <v>179</v>
      </c>
      <c r="L63" s="15"/>
      <c r="M63" s="38"/>
      <c r="N63" s="14"/>
    </row>
    <row r="64" spans="1:14" ht="13.5" customHeight="1" x14ac:dyDescent="0.25">
      <c r="B64" s="48" t="s">
        <v>168</v>
      </c>
      <c r="C64" s="15" t="s">
        <v>194</v>
      </c>
      <c r="D64" s="15" t="s">
        <v>101</v>
      </c>
      <c r="E64" s="15" t="str">
        <f>VLOOKUP(B64,'Liste a câbles'!B:C,2,FALSE)</f>
        <v>2104</v>
      </c>
      <c r="F64" s="31" t="str">
        <f>VLOOKUP(B64,'Liste a câbles'!B:O,14,FALSE)</f>
        <v/>
      </c>
      <c r="G64" s="31" t="str">
        <f>VLOOKUP(B64,'Liste a câbles'!B:P,13,FALSE)</f>
        <v/>
      </c>
      <c r="H64" s="15" t="str">
        <f>IF(F64&lt;&gt;"",(VLOOKUP(B64,'Liste a câbles'!B:E,4,FALSE))/100*G64,"")</f>
        <v/>
      </c>
      <c r="I64" s="15"/>
      <c r="J64" s="15"/>
      <c r="K64" s="15"/>
      <c r="L64" s="15"/>
      <c r="M64" s="38"/>
      <c r="N64" s="14"/>
    </row>
    <row r="65" spans="1:14" ht="13.5" customHeight="1" x14ac:dyDescent="0.25">
      <c r="B65" s="48" t="s">
        <v>52</v>
      </c>
      <c r="C65" s="15" t="s">
        <v>350</v>
      </c>
      <c r="D65" s="15" t="s">
        <v>101</v>
      </c>
      <c r="E65" s="15" t="str">
        <f>VLOOKUP(B65,'Liste a câbles'!B:C,2,FALSE)</f>
        <v>2105</v>
      </c>
      <c r="F65" s="31">
        <f>VLOOKUP(B65,'Liste a câbles'!B:O,14,FALSE)</f>
        <v>1.9718877245100723</v>
      </c>
      <c r="G65" s="31">
        <f>VLOOKUP(B65,'Liste a câbles'!B:P,13,FALSE)</f>
        <v>2.56</v>
      </c>
      <c r="H65" s="15">
        <f>IF(F65&lt;&gt;"",(VLOOKUP(B65,'Liste a câbles'!B:E,4,FALSE))/100*G65,"")</f>
        <v>10.24</v>
      </c>
      <c r="I65" s="15">
        <v>440</v>
      </c>
      <c r="J65" s="15"/>
      <c r="K65" s="15"/>
      <c r="L65" s="15"/>
      <c r="M65" s="38"/>
      <c r="N65" s="14"/>
    </row>
    <row r="66" spans="1:14" ht="13.5" customHeight="1" x14ac:dyDescent="0.25">
      <c r="B66" s="48" t="s">
        <v>140</v>
      </c>
      <c r="C66" s="15" t="s">
        <v>352</v>
      </c>
      <c r="D66" s="29" t="s">
        <v>101</v>
      </c>
      <c r="E66" s="29" t="str">
        <f>VLOOKUP(B66,'Liste a câbles'!B:C,2,FALSE)</f>
        <v>2106</v>
      </c>
      <c r="F66" s="32">
        <f>VLOOKUP(B66,'Liste a câbles'!B:O,14,FALSE)</f>
        <v>4.2403150171838977</v>
      </c>
      <c r="G66" s="32">
        <f>VLOOKUP(B66,'Liste a câbles'!B:P,13,FALSE)</f>
        <v>1.6</v>
      </c>
      <c r="H66" s="29">
        <f>IF(F66&lt;&gt;"",(VLOOKUP(B66,'Liste a câbles'!B:E,4,FALSE))/100*G66,"")</f>
        <v>6.4</v>
      </c>
      <c r="I66" s="29">
        <v>420</v>
      </c>
      <c r="J66" s="15"/>
      <c r="K66" s="15"/>
      <c r="L66" s="15"/>
      <c r="M66" s="38"/>
      <c r="N66" s="14"/>
    </row>
    <row r="67" spans="1:14" ht="13.5" customHeight="1" x14ac:dyDescent="0.25">
      <c r="D67" s="94"/>
      <c r="E67" s="94"/>
      <c r="F67" s="95"/>
      <c r="G67" s="95"/>
      <c r="H67" s="94" t="str">
        <f>IF(F67&lt;&gt;"",(VLOOKUP(B67,'Liste a câbles'!B:E,4,FALSE))/100*G67,"")</f>
        <v/>
      </c>
      <c r="I67" s="94"/>
      <c r="M67" s="41"/>
      <c r="N67" s="14"/>
    </row>
    <row r="68" spans="1:14" ht="13.5" customHeight="1" x14ac:dyDescent="0.25">
      <c r="A68" s="15" t="s">
        <v>87</v>
      </c>
      <c r="B68" s="48" t="s">
        <v>35</v>
      </c>
      <c r="C68" s="15" t="s">
        <v>88</v>
      </c>
      <c r="D68" s="91" t="s">
        <v>184</v>
      </c>
      <c r="E68" s="91" t="str">
        <f>VLOOKUP(B68,'Liste a câbles'!B:C,2,FALSE)</f>
        <v>2209</v>
      </c>
      <c r="F68" s="92" t="str">
        <f>VLOOKUP(B68,'Liste a câbles'!B:O,14,FALSE)</f>
        <v/>
      </c>
      <c r="G68" s="92" t="str">
        <f>VLOOKUP(B68,'Liste a câbles'!B:P,13,FALSE)</f>
        <v/>
      </c>
      <c r="H68" s="91" t="str">
        <f>IF(F68&lt;&gt;"",(VLOOKUP(B68,'Liste a câbles'!B:E,4,FALSE))/100*G68,"")</f>
        <v/>
      </c>
      <c r="I68" s="91"/>
      <c r="J68" s="15"/>
      <c r="K68" s="15"/>
      <c r="L68" s="15" t="s">
        <v>179</v>
      </c>
      <c r="M68" s="38">
        <v>41947</v>
      </c>
      <c r="N68" s="14"/>
    </row>
    <row r="69" spans="1:14" ht="13.5" customHeight="1" x14ac:dyDescent="0.25">
      <c r="B69" s="48" t="s">
        <v>169</v>
      </c>
      <c r="C69" s="15" t="s">
        <v>97</v>
      </c>
      <c r="D69" s="15" t="s">
        <v>184</v>
      </c>
      <c r="E69" s="15" t="str">
        <f>VLOOKUP(B69,'Liste a câbles'!B:C,2,FALSE)</f>
        <v>2210</v>
      </c>
      <c r="F69" s="31" t="str">
        <f>VLOOKUP(B69,'Liste a câbles'!B:O,14,FALSE)</f>
        <v/>
      </c>
      <c r="G69" s="31" t="str">
        <f>VLOOKUP(B69,'Liste a câbles'!B:P,13,FALSE)</f>
        <v/>
      </c>
      <c r="H69" s="15" t="str">
        <f>IF(F69&lt;&gt;"",(VLOOKUP(B69,'Liste a câbles'!B:E,4,FALSE))/100*G69,"")</f>
        <v/>
      </c>
      <c r="I69" s="15"/>
      <c r="J69" s="15"/>
      <c r="K69" s="15"/>
      <c r="L69" s="15"/>
      <c r="M69" s="38"/>
      <c r="N69" s="14"/>
    </row>
    <row r="70" spans="1:14" ht="13.5" customHeight="1" x14ac:dyDescent="0.25">
      <c r="B70" s="96" t="s">
        <v>37</v>
      </c>
      <c r="C70" s="29" t="s">
        <v>96</v>
      </c>
      <c r="D70" s="29" t="s">
        <v>184</v>
      </c>
      <c r="E70" s="29" t="str">
        <f>VLOOKUP(B70,'Liste a câbles'!B:C,2,FALSE)</f>
        <v>2211</v>
      </c>
      <c r="F70" s="32" t="str">
        <f>VLOOKUP(B70,'Liste a câbles'!B:O,14,FALSE)</f>
        <v/>
      </c>
      <c r="G70" s="32" t="str">
        <f>VLOOKUP(B70,'Liste a câbles'!B:P,13,FALSE)</f>
        <v/>
      </c>
      <c r="H70" s="29" t="str">
        <f>IF(F70&lt;&gt;"",(VLOOKUP(B70,'Liste a câbles'!B:E,4,FALSE))/100*G70,"")</f>
        <v/>
      </c>
      <c r="I70" s="29"/>
      <c r="J70" s="29"/>
      <c r="K70" s="29"/>
      <c r="L70" s="29" t="s">
        <v>179</v>
      </c>
      <c r="M70" s="39">
        <v>41947</v>
      </c>
      <c r="N70" s="14"/>
    </row>
    <row r="71" spans="1:14" s="16" customFormat="1" ht="13.5" customHeight="1" x14ac:dyDescent="0.25">
      <c r="A71" s="93"/>
      <c r="B71" s="99"/>
      <c r="C71" s="94"/>
      <c r="D71" s="94"/>
      <c r="E71" s="94"/>
      <c r="F71" s="95"/>
      <c r="G71" s="95"/>
      <c r="H71" s="94" t="str">
        <f>IF(F71&lt;&gt;"",(VLOOKUP(B71,'Liste a câbles'!B:E,4,FALSE))/100*G71,"")</f>
        <v/>
      </c>
      <c r="I71" s="94"/>
      <c r="J71" s="94"/>
      <c r="K71" s="94"/>
      <c r="L71" s="94"/>
      <c r="M71" s="100"/>
    </row>
    <row r="72" spans="1:14" ht="13.5" customHeight="1" x14ac:dyDescent="0.25">
      <c r="A72" s="91" t="s">
        <v>94</v>
      </c>
      <c r="B72" s="97" t="s">
        <v>2</v>
      </c>
      <c r="C72" s="91" t="s">
        <v>118</v>
      </c>
      <c r="D72" s="91" t="s">
        <v>116</v>
      </c>
      <c r="E72" s="91" t="str">
        <f>VLOOKUP(B72,'Liste a câbles'!B:C,2,FALSE)</f>
        <v>1108</v>
      </c>
      <c r="F72" s="92">
        <f>VLOOKUP(B72,'Liste a câbles'!B:O,14,FALSE)</f>
        <v>2.3012526720387569</v>
      </c>
      <c r="G72" s="92">
        <f>VLOOKUP(B72,'Liste a câbles'!B:P,13,FALSE)</f>
        <v>1.68</v>
      </c>
      <c r="H72" s="91">
        <f>IF(F72&lt;&gt;"",(VLOOKUP(B72,'Liste a câbles'!B:E,4,FALSE))/100*G72,"")</f>
        <v>6.72</v>
      </c>
      <c r="I72" s="91"/>
      <c r="J72" s="91"/>
      <c r="K72" s="91" t="s">
        <v>179</v>
      </c>
      <c r="L72" s="91" t="s">
        <v>179</v>
      </c>
      <c r="M72" s="98"/>
      <c r="N72" s="14"/>
    </row>
    <row r="73" spans="1:14" ht="13.5" customHeight="1" x14ac:dyDescent="0.25">
      <c r="B73" s="48" t="s">
        <v>6</v>
      </c>
      <c r="C73" s="15" t="s">
        <v>127</v>
      </c>
      <c r="D73" s="15" t="s">
        <v>116</v>
      </c>
      <c r="E73" s="15" t="str">
        <f>VLOOKUP(B73,'Liste a câbles'!B:C,2,FALSE)</f>
        <v>1109</v>
      </c>
      <c r="F73" s="31" t="str">
        <f>VLOOKUP(B73,'Liste a câbles'!B:O,14,FALSE)</f>
        <v/>
      </c>
      <c r="G73" s="31" t="str">
        <f>VLOOKUP(B73,'Liste a câbles'!B:P,13,FALSE)</f>
        <v/>
      </c>
      <c r="H73" s="15" t="str">
        <f>IF(F73&lt;&gt;"",(VLOOKUP(B73,'Liste a câbles'!B:E,4,FALSE))/100*G73,"")</f>
        <v/>
      </c>
      <c r="I73" s="15"/>
      <c r="J73" s="15"/>
      <c r="K73" s="15"/>
      <c r="L73" s="15"/>
      <c r="M73" s="38"/>
      <c r="N73" s="14"/>
    </row>
    <row r="74" spans="1:14" ht="13.5" customHeight="1" x14ac:dyDescent="0.25">
      <c r="B74" s="48" t="s">
        <v>201</v>
      </c>
      <c r="C74" s="15" t="s">
        <v>123</v>
      </c>
      <c r="D74" s="15" t="s">
        <v>116</v>
      </c>
      <c r="E74" s="15" t="str">
        <f>VLOOKUP(B74,'Liste a câbles'!B:C,2,FALSE)</f>
        <v>1110</v>
      </c>
      <c r="F74" s="31" t="str">
        <f>VLOOKUP(B74,'Liste a câbles'!B:O,14,FALSE)</f>
        <v/>
      </c>
      <c r="G74" s="31" t="str">
        <f>VLOOKUP(B74,'Liste a câbles'!B:P,13,FALSE)</f>
        <v/>
      </c>
      <c r="H74" s="15" t="str">
        <f>IF(F74&lt;&gt;"",(VLOOKUP(B74,'Liste a câbles'!B:E,4,FALSE))/100*G74,"")</f>
        <v/>
      </c>
      <c r="I74" s="15"/>
      <c r="J74" s="15"/>
      <c r="K74" s="15"/>
      <c r="L74" s="15"/>
      <c r="M74" s="38"/>
      <c r="N74" s="14"/>
    </row>
    <row r="75" spans="1:14" ht="13.5" customHeight="1" x14ac:dyDescent="0.25">
      <c r="B75" s="48" t="s">
        <v>13</v>
      </c>
      <c r="C75" s="15" t="s">
        <v>124</v>
      </c>
      <c r="D75" s="15" t="s">
        <v>116</v>
      </c>
      <c r="E75" s="15" t="str">
        <f>VLOOKUP(B75,'Liste a câbles'!B:C,2,FALSE)</f>
        <v>1104</v>
      </c>
      <c r="F75" s="31">
        <f>VLOOKUP(B75,'Liste a câbles'!B:O,14,FALSE)</f>
        <v>1.5024924334900707</v>
      </c>
      <c r="G75" s="31">
        <f>VLOOKUP(B75,'Liste a câbles'!B:P,13,FALSE)</f>
        <v>2.3199999999999998</v>
      </c>
      <c r="H75" s="15">
        <f>IF(F75&lt;&gt;"",(VLOOKUP(B75,'Liste a câbles'!B:E,4,FALSE))/100*G75,"")</f>
        <v>9.2799999999999994</v>
      </c>
      <c r="I75" s="15"/>
      <c r="J75" s="15">
        <v>239</v>
      </c>
      <c r="K75" s="15" t="s">
        <v>179</v>
      </c>
      <c r="L75" s="15" t="s">
        <v>179</v>
      </c>
      <c r="M75" s="38"/>
      <c r="N75" s="14"/>
    </row>
    <row r="76" spans="1:14" ht="13.5" customHeight="1" x14ac:dyDescent="0.25">
      <c r="B76" s="48" t="s">
        <v>14</v>
      </c>
      <c r="C76" s="15" t="s">
        <v>125</v>
      </c>
      <c r="D76" s="15" t="s">
        <v>116</v>
      </c>
      <c r="E76" s="15" t="str">
        <f>VLOOKUP(B76,'Liste a câbles'!B:C,2,FALSE)</f>
        <v>1105</v>
      </c>
      <c r="F76" s="31">
        <f>VLOOKUP(B76,'Liste a câbles'!B:O,14,FALSE)</f>
        <v>1.3442156118176976</v>
      </c>
      <c r="G76" s="31">
        <f>VLOOKUP(B76,'Liste a câbles'!B:P,13,FALSE)</f>
        <v>2.54</v>
      </c>
      <c r="H76" s="15">
        <f>IF(F76&lt;&gt;"",(VLOOKUP(B76,'Liste a câbles'!B:E,4,FALSE))/100*G76,"")</f>
        <v>10.16</v>
      </c>
      <c r="I76" s="15"/>
      <c r="J76" s="15">
        <v>238</v>
      </c>
      <c r="K76" s="15"/>
      <c r="L76" s="15" t="s">
        <v>179</v>
      </c>
      <c r="M76" s="38">
        <v>41529</v>
      </c>
      <c r="N76" s="14"/>
    </row>
    <row r="77" spans="1:14" ht="13.5" customHeight="1" x14ac:dyDescent="0.25">
      <c r="B77" s="48" t="s">
        <v>12</v>
      </c>
      <c r="C77" s="15" t="s">
        <v>126</v>
      </c>
      <c r="D77" s="15" t="s">
        <v>116</v>
      </c>
      <c r="E77" s="15" t="str">
        <f>VLOOKUP(B77,'Liste a câbles'!B:C,2,FALSE)</f>
        <v>1106</v>
      </c>
      <c r="F77" s="31">
        <f>VLOOKUP(B77,'Liste a câbles'!B:O,14,FALSE)</f>
        <v>1.9586334546638822</v>
      </c>
      <c r="G77" s="31">
        <f>VLOOKUP(B77,'Liste a câbles'!B:P,13,FALSE)</f>
        <v>1.9</v>
      </c>
      <c r="H77" s="15">
        <f>IF(F77&lt;&gt;"",(VLOOKUP(B77,'Liste a câbles'!B:E,4,FALSE))/100*G77,"")</f>
        <v>7.6</v>
      </c>
      <c r="I77" s="15"/>
      <c r="J77" s="15">
        <v>237</v>
      </c>
      <c r="K77" s="15" t="s">
        <v>179</v>
      </c>
      <c r="L77" s="15"/>
      <c r="M77" s="38"/>
      <c r="N77" s="14"/>
    </row>
    <row r="78" spans="1:14" ht="13.5" customHeight="1" x14ac:dyDescent="0.25">
      <c r="B78" s="48" t="s">
        <v>7</v>
      </c>
      <c r="C78" s="15" t="s">
        <v>122</v>
      </c>
      <c r="D78" s="15" t="s">
        <v>116</v>
      </c>
      <c r="E78" s="15" t="str">
        <f>VLOOKUP(B78,'Liste a câbles'!B:C,2,FALSE)</f>
        <v>1111</v>
      </c>
      <c r="F78" s="31" t="str">
        <f>VLOOKUP(B78,'Liste a câbles'!B:O,14,FALSE)</f>
        <v/>
      </c>
      <c r="G78" s="31" t="str">
        <f>VLOOKUP(B78,'Liste a câbles'!B:P,13,FALSE)</f>
        <v/>
      </c>
      <c r="H78" s="15" t="str">
        <f>IF(F78&lt;&gt;"",(VLOOKUP(B78,'Liste a câbles'!B:E,4,FALSE))/100*G78,"")</f>
        <v/>
      </c>
      <c r="I78" s="15"/>
      <c r="J78" s="15"/>
      <c r="K78" s="15"/>
      <c r="L78" s="15" t="s">
        <v>179</v>
      </c>
      <c r="M78" s="38">
        <v>41718</v>
      </c>
      <c r="N78" s="14"/>
    </row>
    <row r="79" spans="1:14" ht="13.5" customHeight="1" x14ac:dyDescent="0.25">
      <c r="B79" s="48" t="s">
        <v>11</v>
      </c>
      <c r="C79" s="15" t="s">
        <v>174</v>
      </c>
      <c r="D79" s="15" t="s">
        <v>116</v>
      </c>
      <c r="E79" s="15" t="str">
        <f>VLOOKUP(B79,'Liste a câbles'!B:C,2,FALSE)</f>
        <v>1107</v>
      </c>
      <c r="F79" s="31">
        <f>VLOOKUP(B79,'Liste a câbles'!B:O,14,FALSE)</f>
        <v>2.7749846070036264</v>
      </c>
      <c r="G79" s="31">
        <f>VLOOKUP(B79,'Liste a câbles'!B:P,13,FALSE)</f>
        <v>1.47</v>
      </c>
      <c r="H79" s="15">
        <f>IF(F79&lt;&gt;"",(VLOOKUP(B79,'Liste a câbles'!B:E,4,FALSE))/100*G79,"")</f>
        <v>5.88</v>
      </c>
      <c r="I79" s="15"/>
      <c r="J79" s="15">
        <v>242</v>
      </c>
      <c r="K79" s="15" t="s">
        <v>179</v>
      </c>
      <c r="L79" s="15" t="s">
        <v>179</v>
      </c>
      <c r="M79" s="38"/>
      <c r="N79" s="14"/>
    </row>
    <row r="80" spans="1:14" ht="13.5" customHeight="1" x14ac:dyDescent="0.25">
      <c r="B80" s="48" t="s">
        <v>176</v>
      </c>
      <c r="C80" s="15" t="s">
        <v>175</v>
      </c>
      <c r="D80" s="15" t="s">
        <v>116</v>
      </c>
      <c r="E80" s="15" t="str">
        <f>VLOOKUP(B80,'Liste a câbles'!B:C,2,FALSE)</f>
        <v>1102</v>
      </c>
      <c r="F80" s="31">
        <f>VLOOKUP(B80,'Liste a câbles'!B:O,14,FALSE)</f>
        <v>1.5960332088838283</v>
      </c>
      <c r="G80" s="31">
        <f>VLOOKUP(B80,'Liste a câbles'!B:P,13,FALSE)</f>
        <v>2.2199999999999998</v>
      </c>
      <c r="H80" s="15">
        <f>IF(F80&lt;&gt;"",(VLOOKUP(B80,'Liste a câbles'!B:E,4,FALSE))/100*G80,"")</f>
        <v>8.879999999999999</v>
      </c>
      <c r="I80" s="15"/>
      <c r="J80" s="15">
        <v>248</v>
      </c>
      <c r="K80" s="15" t="s">
        <v>179</v>
      </c>
      <c r="L80" s="15" t="s">
        <v>179</v>
      </c>
      <c r="M80" s="38">
        <v>41947</v>
      </c>
      <c r="N80" s="14"/>
    </row>
    <row r="81" spans="1:14" ht="13.5" customHeight="1" x14ac:dyDescent="0.25">
      <c r="B81" s="48" t="s">
        <v>195</v>
      </c>
      <c r="C81" s="15" t="s">
        <v>121</v>
      </c>
      <c r="D81" s="15" t="s">
        <v>116</v>
      </c>
      <c r="E81" s="15" t="str">
        <f>VLOOKUP(B81,'Liste a câbles'!B:C,2,FALSE)</f>
        <v>1101</v>
      </c>
      <c r="F81" s="31">
        <f>VLOOKUP(B81,'Liste a câbles'!B:O,14,FALSE)</f>
        <v>2.1169446207499081</v>
      </c>
      <c r="G81" s="31">
        <f>VLOOKUP(B81,'Liste a câbles'!B:P,13,FALSE)</f>
        <v>1.79</v>
      </c>
      <c r="H81" s="15">
        <f>IF(F81&lt;&gt;"",(VLOOKUP(B81,'Liste a câbles'!B:E,4,FALSE))/100*G81,"")</f>
        <v>7.16</v>
      </c>
      <c r="I81" s="15"/>
      <c r="J81" s="15">
        <v>249</v>
      </c>
      <c r="K81" s="15" t="s">
        <v>179</v>
      </c>
      <c r="L81" s="15" t="s">
        <v>179</v>
      </c>
      <c r="M81" s="38"/>
      <c r="N81" s="14"/>
    </row>
    <row r="82" spans="1:14" ht="13.5" customHeight="1" x14ac:dyDescent="0.25">
      <c r="B82" s="48" t="s">
        <v>177</v>
      </c>
      <c r="C82" s="15" t="s">
        <v>120</v>
      </c>
      <c r="D82" s="15" t="s">
        <v>116</v>
      </c>
      <c r="E82" s="15" t="str">
        <f>VLOOKUP(B82,'Liste a câbles'!B:C,2,FALSE)</f>
        <v>1112</v>
      </c>
      <c r="F82" s="31" t="str">
        <f>VLOOKUP(B82,'Liste a câbles'!B:O,14,FALSE)</f>
        <v/>
      </c>
      <c r="G82" s="31" t="str">
        <f>VLOOKUP(B82,'Liste a câbles'!B:P,13,FALSE)</f>
        <v/>
      </c>
      <c r="H82" s="15" t="str">
        <f>IF(F82&lt;&gt;"",(VLOOKUP(B82,'Liste a câbles'!B:E,4,FALSE))/100*G82,"")</f>
        <v/>
      </c>
      <c r="I82" s="15"/>
      <c r="J82" s="15"/>
      <c r="K82" s="15"/>
      <c r="L82" s="15"/>
      <c r="M82" s="38"/>
      <c r="N82" s="14"/>
    </row>
    <row r="83" spans="1:14" ht="13.5" customHeight="1" x14ac:dyDescent="0.25">
      <c r="B83" s="48" t="s">
        <v>133</v>
      </c>
      <c r="C83" s="52" t="s">
        <v>119</v>
      </c>
      <c r="D83" s="15" t="s">
        <v>116</v>
      </c>
      <c r="E83" s="15" t="str">
        <f>VLOOKUP(B83,'Liste a câbles'!B:C,2,FALSE)</f>
        <v>1113</v>
      </c>
      <c r="F83" s="31">
        <f>VLOOKUP(B83,'Liste a câbles'!B:O,14,FALSE)</f>
        <v>5.0797241974596634</v>
      </c>
      <c r="G83" s="31">
        <f>VLOOKUP(B83,'Liste a câbles'!B:P,13,FALSE)</f>
        <v>0.94</v>
      </c>
      <c r="H83" s="15">
        <f>IF(F83&lt;&gt;"",(VLOOKUP(B83,'Liste a câbles'!B:E,4,FALSE))/100*G83,"")</f>
        <v>3.76</v>
      </c>
      <c r="I83" s="15"/>
      <c r="J83" s="15"/>
      <c r="K83" s="15" t="s">
        <v>179</v>
      </c>
      <c r="L83" s="15"/>
      <c r="M83" s="38"/>
      <c r="N83" s="14"/>
    </row>
    <row r="84" spans="1:14" ht="13.5" customHeight="1" x14ac:dyDescent="0.25">
      <c r="B84" s="48" t="s">
        <v>266</v>
      </c>
      <c r="C84" s="52" t="s">
        <v>119</v>
      </c>
      <c r="D84" s="15" t="s">
        <v>116</v>
      </c>
      <c r="E84" s="15" t="str">
        <f>VLOOKUP(B84,'Liste a câbles'!B:C,2,FALSE)</f>
        <v>1103</v>
      </c>
      <c r="F84" s="31">
        <f>VLOOKUP(B84,'Liste a câbles'!B:O,14,FALSE)</f>
        <v>0.65211196817039641</v>
      </c>
      <c r="G84" s="31">
        <f>VLOOKUP(B84,'Liste a câbles'!B:P,13,FALSE)</f>
        <v>3.27</v>
      </c>
      <c r="H84" s="15">
        <f>IF(F84&lt;&gt;"",(VLOOKUP(B84,'Liste a câbles'!B:E,4,FALSE))/100*G84,"")</f>
        <v>13.08</v>
      </c>
      <c r="I84" s="15"/>
      <c r="J84" s="15"/>
      <c r="K84" s="15" t="s">
        <v>179</v>
      </c>
      <c r="L84" s="15"/>
      <c r="M84" s="38"/>
      <c r="N84" s="14"/>
    </row>
    <row r="85" spans="1:14" ht="13.5" customHeight="1" x14ac:dyDescent="0.25">
      <c r="B85" s="48" t="s">
        <v>267</v>
      </c>
      <c r="C85" s="52" t="s">
        <v>119</v>
      </c>
      <c r="D85" s="15" t="s">
        <v>133</v>
      </c>
      <c r="E85" s="15" t="str">
        <f>VLOOKUP(B85,'Liste a câbles'!B:C,2,FALSE)</f>
        <v>1114</v>
      </c>
      <c r="F85" s="31">
        <f>VLOOKUP(B85,'Liste a câbles'!B:O,14,FALSE)</f>
        <v>3.9060475694920256</v>
      </c>
      <c r="G85" s="31">
        <f>VLOOKUP(B85,'Liste a câbles'!B:P,13,FALSE)</f>
        <v>1.1499999999999999</v>
      </c>
      <c r="H85" s="15">
        <f>IF(F85&lt;&gt;"",(VLOOKUP(B85,'Liste a câbles'!B:E,4,FALSE))/100*G85,"")</f>
        <v>4.5999999999999996</v>
      </c>
      <c r="I85" s="15"/>
      <c r="J85" s="15">
        <v>295</v>
      </c>
      <c r="K85" s="15" t="s">
        <v>179</v>
      </c>
      <c r="L85" s="15"/>
      <c r="M85" s="38"/>
      <c r="N85" s="14"/>
    </row>
    <row r="86" spans="1:14" ht="13.5" customHeight="1" x14ac:dyDescent="0.25">
      <c r="B86" s="48" t="s">
        <v>1</v>
      </c>
      <c r="C86" s="15" t="s">
        <v>115</v>
      </c>
      <c r="D86" s="15" t="s">
        <v>116</v>
      </c>
      <c r="E86" s="15" t="str">
        <f>VLOOKUP(B86,'Liste a câbles'!B:C,2,FALSE)</f>
        <v>1115</v>
      </c>
      <c r="F86" s="31" t="str">
        <f>VLOOKUP(B86,'Liste a câbles'!B:O,14,FALSE)</f>
        <v/>
      </c>
      <c r="G86" s="31" t="str">
        <f>VLOOKUP(B86,'Liste a câbles'!B:P,13,FALSE)</f>
        <v/>
      </c>
      <c r="H86" s="15" t="str">
        <f>IF(F86&lt;&gt;"",(VLOOKUP(B86,'Liste a câbles'!B:E,4,FALSE))/100*G86,"")</f>
        <v/>
      </c>
      <c r="I86" s="15"/>
      <c r="J86" s="15"/>
      <c r="K86" s="15" t="s">
        <v>179</v>
      </c>
      <c r="L86" s="15"/>
      <c r="M86" s="38"/>
      <c r="N86" s="14"/>
    </row>
    <row r="87" spans="1:14" ht="13.5" customHeight="1" x14ac:dyDescent="0.25">
      <c r="B87" s="48" t="s">
        <v>10</v>
      </c>
      <c r="C87" s="15" t="s">
        <v>115</v>
      </c>
      <c r="D87" s="15" t="s">
        <v>116</v>
      </c>
      <c r="E87" s="29" t="str">
        <f>VLOOKUP(B87,'Liste a câbles'!B:C,2,FALSE)</f>
        <v>1116</v>
      </c>
      <c r="F87" s="32" t="str">
        <f>VLOOKUP(B87,'Liste a câbles'!B:O,14,FALSE)</f>
        <v/>
      </c>
      <c r="G87" s="32" t="str">
        <f>VLOOKUP(B87,'Liste a câbles'!B:P,13,FALSE)</f>
        <v/>
      </c>
      <c r="H87" s="29" t="str">
        <f>IF(F87&lt;&gt;"",(VLOOKUP(B87,'Liste a câbles'!B:E,4,FALSE))/100*G87,"")</f>
        <v/>
      </c>
      <c r="I87" s="15"/>
      <c r="J87" s="15"/>
      <c r="K87" s="15" t="s">
        <v>179</v>
      </c>
      <c r="L87" s="15"/>
      <c r="M87" s="38"/>
      <c r="N87" s="14"/>
    </row>
    <row r="88" spans="1:14" ht="13.5" customHeight="1" x14ac:dyDescent="0.25">
      <c r="B88" s="49"/>
      <c r="C88" s="16"/>
      <c r="D88" s="16"/>
      <c r="E88" s="94"/>
      <c r="F88" s="95"/>
      <c r="G88" s="95"/>
      <c r="H88" s="94" t="str">
        <f>IF(F88&lt;&gt;"",(VLOOKUP(B88,'Liste a câbles'!B:E,4,FALSE))/100*G88,"")</f>
        <v/>
      </c>
      <c r="I88" s="16"/>
      <c r="J88" s="16"/>
      <c r="K88" s="16"/>
      <c r="L88" s="16"/>
      <c r="M88" s="40"/>
      <c r="N88" s="14"/>
    </row>
    <row r="89" spans="1:14" ht="13.5" customHeight="1" x14ac:dyDescent="0.25">
      <c r="A89" s="15" t="s">
        <v>114</v>
      </c>
      <c r="B89" s="48" t="s">
        <v>0</v>
      </c>
      <c r="C89" s="58" t="s">
        <v>114</v>
      </c>
      <c r="D89" s="15" t="s">
        <v>66</v>
      </c>
      <c r="E89" s="91" t="str">
        <f>VLOOKUP(B89,'Liste a câbles'!B:C,2,FALSE)</f>
        <v>0101</v>
      </c>
      <c r="F89" s="31" t="str">
        <f>VLOOKUP(B89,'Liste a câbles'!B:O,14,FALSE)</f>
        <v/>
      </c>
      <c r="G89" s="92" t="str">
        <f>VLOOKUP(B89,'Liste a câbles'!B:P,13,FALSE)</f>
        <v/>
      </c>
      <c r="H89" s="91" t="str">
        <f>IF(F89&lt;&gt;"",(VLOOKUP(B89,'Liste a câbles'!B:E,4,FALSE))/100*G89,"")</f>
        <v/>
      </c>
      <c r="I89" s="15"/>
      <c r="J89" s="15"/>
      <c r="K89" s="15"/>
      <c r="L89" s="15"/>
      <c r="M89" s="38"/>
      <c r="N89" s="14"/>
    </row>
    <row r="90" spans="1:14" ht="13.5" customHeight="1" x14ac:dyDescent="0.25">
      <c r="B90" s="50" t="s">
        <v>5</v>
      </c>
      <c r="C90" s="15" t="s">
        <v>117</v>
      </c>
      <c r="D90" s="58" t="s">
        <v>66</v>
      </c>
      <c r="E90" s="15" t="str">
        <f>VLOOKUP(B90,'Liste a câbles'!B:C,2,FALSE)</f>
        <v>0102</v>
      </c>
      <c r="F90" s="31" t="str">
        <f>VLOOKUP(B90,'Liste a câbles'!B:O,14,FALSE)</f>
        <v/>
      </c>
      <c r="G90" s="31" t="str">
        <f>VLOOKUP(B90,'Liste a câbles'!B:P,13,FALSE)</f>
        <v/>
      </c>
      <c r="H90" s="91" t="str">
        <f>IF(F90&lt;&gt;"",(VLOOKUP(B90,'Liste a câbles'!B:E,4,FALSE))/100*G90,"")</f>
        <v/>
      </c>
      <c r="I90" s="15"/>
      <c r="J90" s="15"/>
      <c r="K90" s="15"/>
      <c r="L90" s="15"/>
      <c r="M90" s="38"/>
      <c r="N90" s="14"/>
    </row>
    <row r="92" spans="1:14" ht="13.5" customHeight="1" x14ac:dyDescent="0.25">
      <c r="N92" s="14"/>
    </row>
    <row r="93" spans="1:14" s="1" customFormat="1" ht="27.75" customHeight="1" x14ac:dyDescent="0.25">
      <c r="A93" s="5" t="s">
        <v>196</v>
      </c>
      <c r="B93" s="61"/>
      <c r="C93" s="18" t="s">
        <v>347</v>
      </c>
      <c r="D93" s="5" t="s">
        <v>349</v>
      </c>
      <c r="E93" s="35" t="s">
        <v>226</v>
      </c>
      <c r="F93" s="18" t="s">
        <v>186</v>
      </c>
      <c r="G93" s="54" t="s">
        <v>344</v>
      </c>
      <c r="H93" s="54" t="s">
        <v>339</v>
      </c>
      <c r="I93" s="18" t="s">
        <v>345</v>
      </c>
      <c r="J93" s="5"/>
      <c r="K93" s="5"/>
      <c r="L93" s="5"/>
      <c r="M93" s="5"/>
    </row>
    <row r="94" spans="1:14" ht="13.5" customHeight="1" x14ac:dyDescent="0.25">
      <c r="A94" s="15" t="s">
        <v>66</v>
      </c>
      <c r="B94" s="62"/>
      <c r="C94" s="18"/>
      <c r="D94" s="31"/>
      <c r="E94" s="46"/>
      <c r="F94" s="15">
        <v>7.04</v>
      </c>
      <c r="G94" s="15"/>
      <c r="H94" s="15"/>
      <c r="I94" s="15"/>
      <c r="J94" s="15"/>
      <c r="K94" s="15"/>
      <c r="L94" s="15"/>
      <c r="M94" s="15"/>
      <c r="N94" s="14"/>
    </row>
    <row r="95" spans="1:14" ht="13.5" customHeight="1" x14ac:dyDescent="0.25">
      <c r="A95" s="15" t="s">
        <v>67</v>
      </c>
      <c r="B95" s="62"/>
      <c r="C95" s="18"/>
      <c r="D95" s="55"/>
      <c r="E95" s="46"/>
      <c r="F95" s="15">
        <v>11.366</v>
      </c>
      <c r="G95" s="15"/>
      <c r="H95" s="15"/>
      <c r="I95" s="15"/>
      <c r="J95" s="15"/>
      <c r="K95" s="15"/>
      <c r="L95" s="15"/>
      <c r="M95" s="15"/>
      <c r="N95" s="14"/>
    </row>
    <row r="96" spans="1:14" ht="13.5" customHeight="1" x14ac:dyDescent="0.25">
      <c r="A96" s="15" t="s">
        <v>116</v>
      </c>
      <c r="B96" s="62" t="s">
        <v>66</v>
      </c>
      <c r="C96" s="54" t="s">
        <v>346</v>
      </c>
      <c r="D96" s="55">
        <v>125</v>
      </c>
      <c r="E96" s="46">
        <v>35</v>
      </c>
      <c r="F96" s="15">
        <v>5.48</v>
      </c>
      <c r="G96" s="15">
        <v>1.44</v>
      </c>
      <c r="H96" s="15">
        <v>5.75</v>
      </c>
      <c r="I96" s="15">
        <v>1</v>
      </c>
      <c r="J96" s="15"/>
      <c r="K96" s="15"/>
      <c r="L96" s="15"/>
      <c r="M96" s="15"/>
      <c r="N96" s="14"/>
    </row>
    <row r="97" spans="1:14" ht="13.5" customHeight="1" x14ac:dyDescent="0.25">
      <c r="A97" s="15" t="s">
        <v>101</v>
      </c>
      <c r="B97" s="62" t="s">
        <v>67</v>
      </c>
      <c r="C97" s="18"/>
      <c r="D97" s="55">
        <v>112</v>
      </c>
      <c r="E97" s="46">
        <v>100</v>
      </c>
      <c r="F97" s="15">
        <v>4.34</v>
      </c>
      <c r="G97" s="15">
        <v>2.4300000000000002</v>
      </c>
      <c r="H97" s="15">
        <v>9.6999999999999993</v>
      </c>
      <c r="I97" s="15">
        <v>0.85</v>
      </c>
      <c r="J97" s="15"/>
      <c r="K97" s="15"/>
      <c r="L97" s="15"/>
      <c r="M97" s="15"/>
      <c r="N97" s="14"/>
    </row>
    <row r="98" spans="1:14" ht="13.5" customHeight="1" x14ac:dyDescent="0.25">
      <c r="A98" s="15" t="s">
        <v>184</v>
      </c>
      <c r="B98" s="62" t="s">
        <v>67</v>
      </c>
      <c r="C98" s="18"/>
      <c r="D98" s="55">
        <v>63</v>
      </c>
      <c r="E98" s="46">
        <v>30</v>
      </c>
      <c r="F98" s="15">
        <v>4.82</v>
      </c>
      <c r="G98" s="15">
        <v>2.17</v>
      </c>
      <c r="H98" s="15">
        <v>8.69</v>
      </c>
      <c r="I98" s="15">
        <v>1</v>
      </c>
      <c r="J98" s="15"/>
      <c r="K98" s="15"/>
      <c r="L98" s="15"/>
      <c r="M98" s="15"/>
      <c r="N98" s="14"/>
    </row>
    <row r="99" spans="1:14" ht="13.5" customHeight="1" x14ac:dyDescent="0.25">
      <c r="A99" s="15" t="s">
        <v>129</v>
      </c>
      <c r="B99" s="62" t="s">
        <v>67</v>
      </c>
      <c r="C99" s="54" t="s">
        <v>346</v>
      </c>
      <c r="D99" s="55">
        <v>125</v>
      </c>
      <c r="E99" s="46">
        <v>50</v>
      </c>
      <c r="F99" s="15">
        <v>6.97</v>
      </c>
      <c r="G99" s="15">
        <v>1.41</v>
      </c>
      <c r="H99" s="15">
        <v>5.75</v>
      </c>
      <c r="I99" s="15">
        <v>1</v>
      </c>
      <c r="J99" s="15"/>
      <c r="K99" s="15"/>
      <c r="L99" s="15"/>
      <c r="M99" s="15"/>
      <c r="N99" s="14"/>
    </row>
    <row r="100" spans="1:14" ht="13.5" customHeight="1" x14ac:dyDescent="0.25">
      <c r="A100" s="15" t="s">
        <v>185</v>
      </c>
      <c r="B100" s="62" t="s">
        <v>40</v>
      </c>
      <c r="C100" s="18"/>
      <c r="D100" s="55">
        <v>80</v>
      </c>
      <c r="E100" s="46">
        <v>80</v>
      </c>
      <c r="F100" s="15">
        <v>1.72</v>
      </c>
      <c r="G100" s="15">
        <v>4.5999999999999996</v>
      </c>
      <c r="H100" s="15">
        <v>18.399999999999999</v>
      </c>
      <c r="I100" s="15">
        <v>1</v>
      </c>
      <c r="J100" s="15"/>
      <c r="K100" s="15"/>
      <c r="L100" s="15"/>
      <c r="M100" s="15"/>
      <c r="N100" s="14"/>
    </row>
    <row r="101" spans="1:14" ht="13.5" customHeight="1" x14ac:dyDescent="0.25">
      <c r="A101" s="15" t="s">
        <v>113</v>
      </c>
      <c r="B101" s="62" t="s">
        <v>67</v>
      </c>
      <c r="C101" s="18"/>
      <c r="D101" s="55">
        <v>100</v>
      </c>
      <c r="E101" s="46">
        <v>60</v>
      </c>
      <c r="F101" s="15">
        <v>3.88</v>
      </c>
      <c r="G101" s="15">
        <v>2.4700000000000002</v>
      </c>
      <c r="H101" s="15">
        <v>9.89</v>
      </c>
      <c r="I101" s="15">
        <v>0.85</v>
      </c>
      <c r="J101" s="15"/>
      <c r="K101" s="15"/>
      <c r="L101" s="15"/>
      <c r="M101" s="15"/>
      <c r="N101" s="14"/>
    </row>
    <row r="102" spans="1:14" ht="13.5" customHeight="1" x14ac:dyDescent="0.25">
      <c r="A102" s="15" t="s">
        <v>137</v>
      </c>
      <c r="B102" s="62" t="s">
        <v>129</v>
      </c>
      <c r="C102" s="54" t="s">
        <v>346</v>
      </c>
      <c r="D102" s="55">
        <v>80</v>
      </c>
      <c r="E102" s="46">
        <v>25</v>
      </c>
      <c r="F102" s="15">
        <v>4.95</v>
      </c>
      <c r="G102" s="15">
        <v>2.2599999999999998</v>
      </c>
      <c r="H102" s="15">
        <v>3.29</v>
      </c>
      <c r="I102" s="15">
        <v>1</v>
      </c>
      <c r="J102" s="15"/>
      <c r="K102" s="15"/>
      <c r="L102" s="15"/>
      <c r="M102" s="15"/>
      <c r="N102" s="14"/>
    </row>
    <row r="103" spans="1:14" ht="13.5" customHeight="1" x14ac:dyDescent="0.25">
      <c r="A103" s="15" t="s">
        <v>222</v>
      </c>
      <c r="B103" s="62" t="s">
        <v>185</v>
      </c>
      <c r="C103" s="54" t="s">
        <v>346</v>
      </c>
      <c r="D103" s="55"/>
      <c r="E103" s="46"/>
      <c r="F103" s="15"/>
      <c r="G103" s="15"/>
      <c r="H103" s="15"/>
      <c r="I103" s="15"/>
      <c r="J103" s="15"/>
      <c r="K103" s="15"/>
      <c r="L103" s="15"/>
      <c r="M103" s="15"/>
      <c r="N103" s="14"/>
    </row>
    <row r="104" spans="1:14" ht="13.5" customHeight="1" x14ac:dyDescent="0.25">
      <c r="D104" s="56"/>
      <c r="N104" s="14"/>
    </row>
  </sheetData>
  <conditionalFormatting sqref="N91:N1048576 M58:M90 M1:M56">
    <cfRule type="containsBlanks" priority="5" stopIfTrue="1">
      <formula>LEN(TRIM(M1))=0</formula>
    </cfRule>
  </conditionalFormatting>
  <conditionalFormatting sqref="M57">
    <cfRule type="containsBlanks" priority="1" stopIfTrue="1">
      <formula>LEN(TRIM(M57))=0</formula>
    </cfRule>
  </conditionalFormatting>
  <pageMargins left="3.937007874015748E-2" right="3.937007874015748E-2" top="0.74803149606299213" bottom="0.74803149606299213" header="0.31496062992125984" footer="0.31496062992125984"/>
  <pageSetup paperSize="9" orientation="portrait" r:id="rId1"/>
  <headerFooter>
    <oddHeader>&amp;C&amp;A&amp;R&amp;D</oddHeader>
    <oddFooter>&amp;L&amp;Z&amp;F&amp;C
&amp;RPage &amp;P de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" stopIfTrue="1" operator="lessThanOrEqual" id="{7034DFE2-05C4-424D-A364-A7951E77F047}">
            <xm:f>Feuil3!$A$3</xm:f>
            <x14:dxf>
              <fill>
                <patternFill>
                  <bgColor rgb="FFFF0000"/>
                </patternFill>
              </fill>
            </x14:dxf>
          </x14:cfRule>
          <x14:cfRule type="cellIs" priority="7" stopIfTrue="1" operator="lessThanOrEqual" id="{E3DBA651-E66A-4761-9D7B-8F97184CFD59}">
            <xm:f>Feuil3!$A$2</xm:f>
            <x14:dxf>
              <fill>
                <patternFill>
                  <bgColor rgb="FFFFFF00"/>
                </patternFill>
              </fill>
            </x14:dxf>
          </x14:cfRule>
          <xm:sqref>N91:N1048576 M58:M90 M1:M56</xm:sqref>
        </x14:conditionalFormatting>
        <x14:conditionalFormatting xmlns:xm="http://schemas.microsoft.com/office/excel/2006/main">
          <x14:cfRule type="cellIs" priority="4" operator="greaterThan" id="{76A34294-F18B-450E-B4F0-6D3A40B2AAE6}">
            <xm:f>Feuil3!$A$2</xm:f>
            <x14:dxf>
              <fill>
                <patternFill>
                  <bgColor rgb="FF00B050"/>
                </patternFill>
              </fill>
            </x14:dxf>
          </x14:cfRule>
          <xm:sqref>N91 M58:M90 M2:M56</xm:sqref>
        </x14:conditionalFormatting>
        <x14:conditionalFormatting xmlns:xm="http://schemas.microsoft.com/office/excel/2006/main">
          <x14:cfRule type="cellIs" priority="2" stopIfTrue="1" operator="lessThanOrEqual" id="{53E909A9-978C-4CDF-9253-E4F224965BED}">
            <xm:f>Feuil3!$A$3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lessThanOrEqual" id="{6537ACDF-9D3C-46CC-BAC9-863D7C9E53D5}">
            <xm:f>Feuil3!$A$2</xm:f>
            <x14:dxf>
              <fill>
                <patternFill>
                  <bgColor rgb="FFFFFF00"/>
                </patternFill>
              </fill>
            </x14:dxf>
          </x14:cfRule>
          <xm:sqref>M57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3"/>
  <sheetViews>
    <sheetView view="pageLayout" topLeftCell="A10" zoomScaleNormal="100" workbookViewId="0">
      <selection activeCell="E30" sqref="E30"/>
    </sheetView>
  </sheetViews>
  <sheetFormatPr baseColWidth="10" defaultRowHeight="15" x14ac:dyDescent="0.25"/>
  <cols>
    <col min="1" max="1" width="7" style="1" customWidth="1"/>
    <col min="2" max="2" width="9" style="1" bestFit="1" customWidth="1"/>
    <col min="3" max="3" width="7.85546875" style="90" customWidth="1"/>
    <col min="4" max="4" width="4.140625" style="1" bestFit="1" customWidth="1"/>
    <col min="5" max="5" width="4.85546875" style="1" customWidth="1"/>
    <col min="6" max="6" width="7.42578125" style="1" customWidth="1"/>
    <col min="7" max="8" width="3.7109375" style="1" bestFit="1" customWidth="1"/>
    <col min="9" max="9" width="3.7109375" style="1" customWidth="1"/>
    <col min="10" max="10" width="4.28515625" style="1" bestFit="1" customWidth="1"/>
    <col min="11" max="11" width="4.28515625" style="1" customWidth="1"/>
    <col min="12" max="12" width="4.28515625" style="19" customWidth="1"/>
    <col min="13" max="14" width="9" style="1" customWidth="1"/>
    <col min="15" max="15" width="9" style="19" customWidth="1"/>
    <col min="16" max="16" width="9" style="1" customWidth="1"/>
    <col min="17" max="18" width="11.42578125" style="1"/>
    <col min="20" max="16384" width="11.42578125" style="1"/>
  </cols>
  <sheetData>
    <row r="1" spans="1:19" s="69" customFormat="1" ht="87.75" customHeight="1" x14ac:dyDescent="0.25">
      <c r="A1" s="69" t="s">
        <v>359</v>
      </c>
      <c r="B1" s="69" t="s">
        <v>360</v>
      </c>
      <c r="C1" s="88"/>
      <c r="D1" s="69" t="s">
        <v>355</v>
      </c>
      <c r="E1" s="69" t="s">
        <v>242</v>
      </c>
      <c r="F1" s="69" t="s">
        <v>356</v>
      </c>
      <c r="G1" s="69" t="s">
        <v>358</v>
      </c>
      <c r="H1" s="69" t="s">
        <v>361</v>
      </c>
      <c r="I1" s="69" t="s">
        <v>188</v>
      </c>
      <c r="J1" s="69" t="s">
        <v>362</v>
      </c>
      <c r="K1" s="69" t="s">
        <v>187</v>
      </c>
      <c r="L1" s="72" t="s">
        <v>365</v>
      </c>
      <c r="M1" s="69" t="s">
        <v>377</v>
      </c>
      <c r="N1" s="69" t="s">
        <v>387</v>
      </c>
      <c r="O1" s="72" t="s">
        <v>388</v>
      </c>
    </row>
    <row r="2" spans="1:19" x14ac:dyDescent="0.25">
      <c r="A2" s="5" t="s">
        <v>66</v>
      </c>
      <c r="B2" s="5" t="s">
        <v>66</v>
      </c>
      <c r="C2" s="89"/>
      <c r="D2" s="5"/>
      <c r="E2" s="5"/>
      <c r="F2" s="74"/>
      <c r="G2" s="74"/>
      <c r="H2" s="76"/>
      <c r="I2" s="75"/>
      <c r="J2" s="75"/>
      <c r="K2" s="5"/>
      <c r="L2" s="73"/>
      <c r="M2" s="5">
        <v>0</v>
      </c>
      <c r="N2" s="5">
        <v>0</v>
      </c>
      <c r="O2" s="73">
        <f>VLOOKUP(B2,'Annexe liste a câble'!B:J,9,FALSE)</f>
        <v>7.04</v>
      </c>
      <c r="S2" s="1"/>
    </row>
    <row r="3" spans="1:19" x14ac:dyDescent="0.25">
      <c r="A3" s="5" t="s">
        <v>67</v>
      </c>
      <c r="B3" s="5" t="s">
        <v>67</v>
      </c>
      <c r="C3" s="89"/>
      <c r="D3" s="5"/>
      <c r="E3" s="5"/>
      <c r="F3" s="74"/>
      <c r="G3" s="74"/>
      <c r="H3" s="76"/>
      <c r="I3" s="75"/>
      <c r="J3" s="75"/>
      <c r="K3" s="5"/>
      <c r="L3" s="73"/>
      <c r="M3" s="5">
        <v>0</v>
      </c>
      <c r="N3" s="5">
        <v>0</v>
      </c>
      <c r="O3" s="73">
        <f>VLOOKUP(B3,'Annexe liste a câble'!B:J,9,FALSE)</f>
        <v>11.37</v>
      </c>
      <c r="S3" s="1"/>
    </row>
    <row r="4" spans="1:19" x14ac:dyDescent="0.25">
      <c r="A4" s="5" t="s">
        <v>66</v>
      </c>
      <c r="B4" s="5" t="s">
        <v>116</v>
      </c>
      <c r="C4" s="89" t="s">
        <v>363</v>
      </c>
      <c r="D4" s="5">
        <v>125</v>
      </c>
      <c r="E4" s="5">
        <v>400</v>
      </c>
      <c r="F4" s="74" t="s">
        <v>364</v>
      </c>
      <c r="G4" s="74">
        <v>3</v>
      </c>
      <c r="H4" s="76" t="s">
        <v>251</v>
      </c>
      <c r="I4" s="75">
        <v>35</v>
      </c>
      <c r="J4" s="75">
        <v>16</v>
      </c>
      <c r="K4" s="5">
        <v>35</v>
      </c>
      <c r="L4" s="73">
        <v>0.9</v>
      </c>
      <c r="M4" s="5">
        <f>IF($I4&lt;&gt;"",(ROUND((SQRT(3)*((0.0171*($K4/$I4))*$L4)*$D4)/($E4/100),2)),"")</f>
        <v>0.83</v>
      </c>
      <c r="N4" s="5">
        <f>IF($I4&lt;&gt;"",'Annexe liste a câble'!C4+(ROUND((SQRT(3)*((0.0171*($K4/$I4))*$L4)*$D4)/($E4/100),2)),"")</f>
        <v>0.83</v>
      </c>
      <c r="O4" s="73">
        <f>VLOOKUP(B4,'Annexe liste a câble'!B:J,9,FALSE)</f>
        <v>5.7555802010000789</v>
      </c>
      <c r="S4" s="1"/>
    </row>
    <row r="5" spans="1:19" x14ac:dyDescent="0.25">
      <c r="A5" s="5" t="s">
        <v>66</v>
      </c>
      <c r="B5" s="5" t="s">
        <v>0</v>
      </c>
      <c r="C5" s="89" t="s">
        <v>331</v>
      </c>
      <c r="D5" s="5"/>
      <c r="E5" s="5"/>
      <c r="F5" s="5"/>
      <c r="G5" s="74"/>
      <c r="H5" s="76"/>
      <c r="I5" s="75"/>
      <c r="J5" s="5"/>
      <c r="K5" s="5"/>
      <c r="L5" s="73"/>
      <c r="M5" s="5" t="str">
        <f t="shared" ref="M5:M37" si="0">IF($I5&lt;&gt;"",(ROUND((SQRT(3)*((0.0171*($K5/$I5))*$L5)*$D5)/(E5/100),2)),"")</f>
        <v/>
      </c>
      <c r="N5" s="5" t="str">
        <f>IF($I5&lt;&gt;"",'Annexe liste a câble'!C5+(ROUND((SQRT(3)*((0.0171*($K5/$I5))*$L5)*$D5)/($E5/100),2)),"")</f>
        <v/>
      </c>
      <c r="O5" s="73" t="str">
        <f>VLOOKUP(B5,'Annexe liste a câble'!B:J,9,FALSE)</f>
        <v/>
      </c>
      <c r="S5" s="1"/>
    </row>
    <row r="6" spans="1:19" x14ac:dyDescent="0.25">
      <c r="A6" s="5" t="s">
        <v>66</v>
      </c>
      <c r="B6" s="5" t="s">
        <v>5</v>
      </c>
      <c r="C6" s="89" t="s">
        <v>332</v>
      </c>
      <c r="D6" s="5"/>
      <c r="E6" s="5"/>
      <c r="F6" s="5"/>
      <c r="G6" s="74"/>
      <c r="H6" s="76"/>
      <c r="I6" s="75"/>
      <c r="J6" s="5"/>
      <c r="K6" s="5"/>
      <c r="L6" s="73"/>
      <c r="M6" s="5" t="str">
        <f t="shared" si="0"/>
        <v/>
      </c>
      <c r="N6" s="5" t="str">
        <f>IF($I6&lt;&gt;"",'Annexe liste a câble'!C6+(ROUND((SQRT(3)*((0.0171*($K6/$I6))*$L6)*$D6)/($E6/100),2)),"")</f>
        <v/>
      </c>
      <c r="O6" s="73" t="str">
        <f>VLOOKUP(B6,'Annexe liste a câble'!B:J,9,FALSE)</f>
        <v/>
      </c>
      <c r="S6" s="1"/>
    </row>
    <row r="7" spans="1:19" x14ac:dyDescent="0.25">
      <c r="A7" s="5" t="s">
        <v>67</v>
      </c>
      <c r="B7" s="5" t="s">
        <v>101</v>
      </c>
      <c r="C7" s="89" t="s">
        <v>368</v>
      </c>
      <c r="D7" s="5">
        <v>122</v>
      </c>
      <c r="E7" s="5">
        <v>400</v>
      </c>
      <c r="F7" s="5"/>
      <c r="G7" s="74">
        <v>3</v>
      </c>
      <c r="H7" s="76" t="s">
        <v>251</v>
      </c>
      <c r="I7" s="75">
        <v>50</v>
      </c>
      <c r="J7" s="5">
        <v>25</v>
      </c>
      <c r="K7" s="5">
        <v>100</v>
      </c>
      <c r="L7" s="73">
        <v>0.85</v>
      </c>
      <c r="M7" s="5">
        <f t="shared" si="0"/>
        <v>1.54</v>
      </c>
      <c r="N7" s="5">
        <f>IF($I7&lt;&gt;"",'Annexe liste a câble'!C7+(ROUND((SQRT(3)*((0.0171*($K7/$I7))*$L7)*$D7)/($E7/100),2)),"")</f>
        <v>1.54</v>
      </c>
      <c r="O7" s="73">
        <f>VLOOKUP(B7,'Annexe liste a câble'!B:J,9,FALSE)</f>
        <v>4.9547208530919216</v>
      </c>
      <c r="S7" s="1"/>
    </row>
    <row r="8" spans="1:19" x14ac:dyDescent="0.25">
      <c r="A8" s="5" t="s">
        <v>67</v>
      </c>
      <c r="B8" s="5" t="s">
        <v>184</v>
      </c>
      <c r="C8" s="89" t="s">
        <v>369</v>
      </c>
      <c r="D8" s="5">
        <v>63</v>
      </c>
      <c r="E8" s="5">
        <v>400</v>
      </c>
      <c r="F8" s="5"/>
      <c r="G8" s="74">
        <v>4</v>
      </c>
      <c r="H8" s="76" t="s">
        <v>251</v>
      </c>
      <c r="I8" s="75">
        <v>10</v>
      </c>
      <c r="J8" s="5"/>
      <c r="K8" s="5">
        <v>30</v>
      </c>
      <c r="L8" s="73">
        <v>0.9</v>
      </c>
      <c r="M8" s="5">
        <f t="shared" si="0"/>
        <v>1.26</v>
      </c>
      <c r="N8" s="5">
        <f>IF($I8&lt;&gt;"",'Annexe liste a câble'!C8+(ROUND((SQRT(3)*((0.0171*($K8/$I8))*$L8)*$D8)/($E8/100),2)),"")</f>
        <v>1.26</v>
      </c>
      <c r="O8" s="73">
        <f>VLOOKUP(B8,'Annexe liste a câble'!B:J,9,FALSE)</f>
        <v>3.8491197826192005</v>
      </c>
      <c r="S8" s="1"/>
    </row>
    <row r="9" spans="1:19" x14ac:dyDescent="0.25">
      <c r="A9" s="5" t="s">
        <v>67</v>
      </c>
      <c r="B9" s="5" t="s">
        <v>184</v>
      </c>
      <c r="C9" s="89" t="s">
        <v>370</v>
      </c>
      <c r="D9" s="5">
        <v>63</v>
      </c>
      <c r="E9" s="5">
        <v>400</v>
      </c>
      <c r="F9" s="5"/>
      <c r="G9" s="74">
        <v>4</v>
      </c>
      <c r="H9" s="76" t="s">
        <v>251</v>
      </c>
      <c r="I9" s="75">
        <v>10</v>
      </c>
      <c r="J9" s="5"/>
      <c r="K9" s="5">
        <v>30</v>
      </c>
      <c r="L9" s="73">
        <v>0.9</v>
      </c>
      <c r="M9" s="5">
        <f t="shared" si="0"/>
        <v>1.26</v>
      </c>
      <c r="N9" s="5">
        <f>IF($I9&lt;&gt;"",'Annexe liste a câble'!C9+(ROUND((SQRT(3)*((0.0171*($K9/$I9))*$L9)*$D9)/($E9/100),2)),"")</f>
        <v>1.26</v>
      </c>
      <c r="O9" s="73">
        <f>VLOOKUP(B9,'Annexe liste a câble'!B:J,9,FALSE)</f>
        <v>3.8491197826192005</v>
      </c>
      <c r="S9" s="1"/>
    </row>
    <row r="10" spans="1:19" x14ac:dyDescent="0.25">
      <c r="A10" s="5" t="s">
        <v>67</v>
      </c>
      <c r="B10" s="5" t="s">
        <v>184</v>
      </c>
      <c r="C10" s="89" t="s">
        <v>371</v>
      </c>
      <c r="D10" s="5">
        <v>63</v>
      </c>
      <c r="E10" s="5">
        <v>400</v>
      </c>
      <c r="F10" s="5"/>
      <c r="G10" s="74">
        <v>4</v>
      </c>
      <c r="H10" s="76" t="s">
        <v>251</v>
      </c>
      <c r="I10" s="75">
        <v>10</v>
      </c>
      <c r="J10" s="5"/>
      <c r="K10" s="5">
        <v>30</v>
      </c>
      <c r="L10" s="73">
        <v>0.9</v>
      </c>
      <c r="M10" s="5">
        <f t="shared" si="0"/>
        <v>1.26</v>
      </c>
      <c r="N10" s="5">
        <f>IF($I10&lt;&gt;"",'Annexe liste a câble'!C10+(ROUND((SQRT(3)*((0.0171*($K10/$I10))*$L10)*$D10)/($E10/100),2)),"")</f>
        <v>1.26</v>
      </c>
      <c r="O10" s="73">
        <f>VLOOKUP(B10,'Annexe liste a câble'!B:J,9,FALSE)</f>
        <v>3.8491197826192005</v>
      </c>
      <c r="S10" s="1"/>
    </row>
    <row r="11" spans="1:19" s="115" customFormat="1" x14ac:dyDescent="0.25">
      <c r="A11" s="109" t="s">
        <v>67</v>
      </c>
      <c r="B11" s="109" t="s">
        <v>129</v>
      </c>
      <c r="C11" s="110" t="s">
        <v>372</v>
      </c>
      <c r="D11" s="109">
        <v>125</v>
      </c>
      <c r="E11" s="109">
        <v>400</v>
      </c>
      <c r="F11" s="109"/>
      <c r="G11" s="111">
        <v>3</v>
      </c>
      <c r="H11" s="112" t="s">
        <v>251</v>
      </c>
      <c r="I11" s="113">
        <v>50</v>
      </c>
      <c r="J11" s="109">
        <v>25</v>
      </c>
      <c r="K11" s="109">
        <v>50</v>
      </c>
      <c r="L11" s="114">
        <v>1</v>
      </c>
      <c r="M11" s="109">
        <f t="shared" si="0"/>
        <v>0.93</v>
      </c>
      <c r="N11" s="109">
        <f>IF($I11&lt;&gt;"",'Annexe liste a câble'!C11+(ROUND((SQRT(3)*((0.0171*($K11/$I11))*$L11)*$D11)/($E11/100),2)),"")</f>
        <v>0.93</v>
      </c>
      <c r="O11" s="114">
        <f>VLOOKUP(B11,'Annexe liste a câble'!B:J,9,FALSE)</f>
        <v>7.5562574455299361</v>
      </c>
    </row>
    <row r="12" spans="1:19" s="115" customFormat="1" x14ac:dyDescent="0.25">
      <c r="A12" s="103" t="s">
        <v>40</v>
      </c>
      <c r="B12" s="103" t="s">
        <v>185</v>
      </c>
      <c r="C12" s="104" t="s">
        <v>373</v>
      </c>
      <c r="D12" s="103">
        <v>80</v>
      </c>
      <c r="E12" s="103">
        <v>400</v>
      </c>
      <c r="F12" s="103"/>
      <c r="G12" s="105">
        <v>5</v>
      </c>
      <c r="H12" s="106" t="s">
        <v>366</v>
      </c>
      <c r="I12" s="107">
        <v>16</v>
      </c>
      <c r="J12" s="103"/>
      <c r="K12" s="103">
        <v>80</v>
      </c>
      <c r="L12" s="108">
        <v>1</v>
      </c>
      <c r="M12" s="103">
        <f t="shared" si="0"/>
        <v>2.96</v>
      </c>
      <c r="N12" s="103">
        <f>IF($I12&lt;&gt;"",'Annexe liste a câble'!C12+(ROUND((SQRT(3)*((0.0171*($K12/$I12))*$L12)*$D12)/($E12/100),2)),"")</f>
        <v>4.63</v>
      </c>
      <c r="O12" s="108">
        <f>VLOOKUP(B12,'Annexe liste a câble'!B:J,9,FALSE)</f>
        <v>2.0041597920052334</v>
      </c>
    </row>
    <row r="13" spans="1:19" s="115" customFormat="1" x14ac:dyDescent="0.25">
      <c r="A13" s="109" t="s">
        <v>67</v>
      </c>
      <c r="B13" s="109" t="s">
        <v>113</v>
      </c>
      <c r="C13" s="110" t="s">
        <v>374</v>
      </c>
      <c r="D13" s="109">
        <v>100</v>
      </c>
      <c r="E13" s="109">
        <v>400</v>
      </c>
      <c r="F13" s="109"/>
      <c r="G13" s="111">
        <v>4</v>
      </c>
      <c r="H13" s="112" t="s">
        <v>251</v>
      </c>
      <c r="I13" s="113">
        <v>25</v>
      </c>
      <c r="J13" s="109"/>
      <c r="K13" s="109">
        <v>60</v>
      </c>
      <c r="L13" s="114">
        <v>0.85</v>
      </c>
      <c r="M13" s="109">
        <f t="shared" si="0"/>
        <v>1.51</v>
      </c>
      <c r="N13" s="109">
        <f>IF($I13&lt;&gt;"",'Annexe liste a câble'!C13+(ROUND((SQRT(3)*((0.0171*($K13/$I13))*$L13)*$D13)/($E13/100),2)),"")</f>
        <v>1.51</v>
      </c>
      <c r="O13" s="114">
        <f>VLOOKUP(B13,'Annexe liste a câble'!B:J,9,FALSE)</f>
        <v>4.5251884312156267</v>
      </c>
    </row>
    <row r="14" spans="1:19" s="115" customFormat="1" x14ac:dyDescent="0.25">
      <c r="A14" s="103" t="s">
        <v>129</v>
      </c>
      <c r="B14" s="103" t="s">
        <v>137</v>
      </c>
      <c r="C14" s="104" t="s">
        <v>375</v>
      </c>
      <c r="D14" s="103">
        <v>80</v>
      </c>
      <c r="E14" s="103">
        <v>400</v>
      </c>
      <c r="F14" s="103"/>
      <c r="G14" s="105">
        <v>4</v>
      </c>
      <c r="H14" s="106" t="s">
        <v>251</v>
      </c>
      <c r="I14" s="107">
        <v>35</v>
      </c>
      <c r="J14" s="103"/>
      <c r="K14" s="103">
        <v>25</v>
      </c>
      <c r="L14" s="108">
        <v>1</v>
      </c>
      <c r="M14" s="103">
        <f t="shared" si="0"/>
        <v>0.42</v>
      </c>
      <c r="N14" s="103">
        <f>IF($I14&lt;&gt;"",'Annexe liste a câble'!C14+(ROUND((SQRT(3)*((0.0171*($K14/$I14))*$L14)*$D14)/($E14/100),2)),"")</f>
        <v>1.35</v>
      </c>
      <c r="O14" s="108">
        <f>VLOOKUP(B14,'Annexe liste a câble'!B:J,9,FALSE)</f>
        <v>5.6017366282905243</v>
      </c>
    </row>
    <row r="15" spans="1:19" s="115" customFormat="1" x14ac:dyDescent="0.25">
      <c r="A15" s="103" t="s">
        <v>185</v>
      </c>
      <c r="B15" s="103" t="s">
        <v>222</v>
      </c>
      <c r="C15" s="104" t="s">
        <v>376</v>
      </c>
      <c r="D15" s="103">
        <v>20</v>
      </c>
      <c r="E15" s="103">
        <v>400</v>
      </c>
      <c r="F15" s="103"/>
      <c r="G15" s="105">
        <v>5</v>
      </c>
      <c r="H15" s="106" t="s">
        <v>366</v>
      </c>
      <c r="I15" s="107">
        <v>6</v>
      </c>
      <c r="J15" s="103"/>
      <c r="K15" s="103">
        <v>20</v>
      </c>
      <c r="L15" s="108">
        <v>0.9</v>
      </c>
      <c r="M15" s="103">
        <f t="shared" si="0"/>
        <v>0.44</v>
      </c>
      <c r="N15" s="103">
        <f>IF($I15&lt;&gt;"",'Annexe liste a câble'!C15+(ROUND((SQRT(3)*((0.0171*($K15/$I15))*$L15)*$D15)/($E15/100),2)),"")</f>
        <v>5.07</v>
      </c>
      <c r="O15" s="108">
        <f>VLOOKUP(B15,'Annexe liste a câble'!B:J,9,FALSE)</f>
        <v>1.3139722459439138</v>
      </c>
    </row>
    <row r="16" spans="1:19" s="115" customFormat="1" x14ac:dyDescent="0.25">
      <c r="A16" s="109" t="s">
        <v>67</v>
      </c>
      <c r="B16" s="109" t="s">
        <v>47</v>
      </c>
      <c r="C16" s="110" t="s">
        <v>268</v>
      </c>
      <c r="D16" s="109">
        <v>400</v>
      </c>
      <c r="E16" s="109">
        <v>400</v>
      </c>
      <c r="F16" s="109"/>
      <c r="G16" s="111">
        <v>3</v>
      </c>
      <c r="H16" s="112" t="s">
        <v>251</v>
      </c>
      <c r="I16" s="113">
        <v>150</v>
      </c>
      <c r="J16" s="109">
        <v>70</v>
      </c>
      <c r="K16" s="109">
        <v>10</v>
      </c>
      <c r="L16" s="114">
        <v>0.9</v>
      </c>
      <c r="M16" s="109">
        <f t="shared" si="0"/>
        <v>0.18</v>
      </c>
      <c r="N16" s="109">
        <f>IF($I16&lt;&gt;"",'Annexe liste a câble'!C16+(ROUND((SQRT(3)*((0.0171*($K16/$I16))*$L16)*$D16)/($E16/100),2)),"")</f>
        <v>0.18</v>
      </c>
      <c r="O16" s="114">
        <f>VLOOKUP(B16,'Annexe liste a câble'!B:J,9,FALSE)</f>
        <v>10.916047273806177</v>
      </c>
    </row>
    <row r="17" spans="1:19" s="115" customFormat="1" x14ac:dyDescent="0.25">
      <c r="A17" s="109" t="s">
        <v>67</v>
      </c>
      <c r="B17" s="109" t="s">
        <v>58</v>
      </c>
      <c r="C17" s="110" t="s">
        <v>270</v>
      </c>
      <c r="D17" s="109"/>
      <c r="E17" s="109"/>
      <c r="F17" s="109"/>
      <c r="G17" s="111"/>
      <c r="H17" s="112"/>
      <c r="I17" s="113"/>
      <c r="J17" s="109"/>
      <c r="K17" s="109"/>
      <c r="L17" s="114"/>
      <c r="M17" s="109" t="str">
        <f t="shared" si="0"/>
        <v/>
      </c>
      <c r="N17" s="109" t="str">
        <f>IF($I17&lt;&gt;"",'Annexe liste a câble'!C17+(ROUND((SQRT(3)*((0.0171*($K17/$I17))*$L17)*$D17)/($E17/100),2)),"")</f>
        <v/>
      </c>
      <c r="O17" s="114" t="str">
        <f>VLOOKUP(B17,'Annexe liste a câble'!B:J,9,FALSE)</f>
        <v/>
      </c>
    </row>
    <row r="18" spans="1:19" s="115" customFormat="1" x14ac:dyDescent="0.25">
      <c r="A18" s="109" t="s">
        <v>67</v>
      </c>
      <c r="B18" s="109" t="s">
        <v>41</v>
      </c>
      <c r="C18" s="110" t="s">
        <v>271</v>
      </c>
      <c r="D18" s="109">
        <v>200</v>
      </c>
      <c r="E18" s="109">
        <v>400</v>
      </c>
      <c r="F18" s="109"/>
      <c r="G18" s="111">
        <v>3</v>
      </c>
      <c r="H18" s="112" t="s">
        <v>251</v>
      </c>
      <c r="I18" s="113">
        <v>95</v>
      </c>
      <c r="J18" s="109">
        <v>50</v>
      </c>
      <c r="K18" s="109">
        <v>70</v>
      </c>
      <c r="L18" s="114">
        <v>0.9</v>
      </c>
      <c r="M18" s="109">
        <f t="shared" si="0"/>
        <v>0.98</v>
      </c>
      <c r="N18" s="109">
        <f>IF($I18&lt;&gt;"",'Annexe liste a câble'!C18+(ROUND((SQRT(3)*((0.0171*($K18/$I18))*$L18)*$D18)/($E18/100),2)),"")</f>
        <v>0.98</v>
      </c>
      <c r="O18" s="114">
        <f>VLOOKUP(B18,'Annexe liste a câble'!B:J,9,FALSE)</f>
        <v>7.8847751084587001</v>
      </c>
    </row>
    <row r="19" spans="1:19" s="115" customFormat="1" x14ac:dyDescent="0.25">
      <c r="A19" s="109" t="s">
        <v>67</v>
      </c>
      <c r="B19" s="109" t="s">
        <v>42</v>
      </c>
      <c r="C19" s="110" t="s">
        <v>272</v>
      </c>
      <c r="D19" s="109">
        <v>125</v>
      </c>
      <c r="E19" s="109">
        <v>400</v>
      </c>
      <c r="F19" s="109"/>
      <c r="G19" s="111">
        <v>4</v>
      </c>
      <c r="H19" s="112" t="s">
        <v>251</v>
      </c>
      <c r="I19" s="113">
        <v>25</v>
      </c>
      <c r="J19" s="109"/>
      <c r="K19" s="109">
        <v>40</v>
      </c>
      <c r="L19" s="114">
        <v>0.9</v>
      </c>
      <c r="M19" s="109">
        <f t="shared" si="0"/>
        <v>1.33</v>
      </c>
      <c r="N19" s="109">
        <f>IF($I19&lt;&gt;"",'Annexe liste a câble'!C19+(ROUND((SQRT(3)*((0.0171*($K19/$I19))*$L19)*$D19)/($E19/100),2)),"")</f>
        <v>1.33</v>
      </c>
      <c r="O19" s="114">
        <f>VLOOKUP(B19,'Annexe liste a câble'!B:J,9,FALSE)</f>
        <v>6.1064122435583128</v>
      </c>
    </row>
    <row r="20" spans="1:19" s="115" customFormat="1" x14ac:dyDescent="0.25">
      <c r="A20" s="109" t="s">
        <v>67</v>
      </c>
      <c r="B20" s="109" t="s">
        <v>42</v>
      </c>
      <c r="C20" s="110" t="s">
        <v>272</v>
      </c>
      <c r="D20" s="109">
        <v>80</v>
      </c>
      <c r="E20" s="109">
        <v>400</v>
      </c>
      <c r="F20" s="109"/>
      <c r="G20" s="111">
        <v>4</v>
      </c>
      <c r="H20" s="112" t="s">
        <v>251</v>
      </c>
      <c r="I20" s="113">
        <v>16</v>
      </c>
      <c r="J20" s="109"/>
      <c r="K20" s="109">
        <v>40</v>
      </c>
      <c r="L20" s="114">
        <v>0.9</v>
      </c>
      <c r="M20" s="109">
        <f t="shared" si="0"/>
        <v>1.33</v>
      </c>
      <c r="N20" s="109">
        <f>IF($I20&lt;&gt;"",'Annexe liste a câble'!C20+(ROUND((SQRT(3)*((0.0171*($K20/$I20))*$L20)*$D20)/($E20/100),2)),"")</f>
        <v>1.33</v>
      </c>
      <c r="O20" s="114">
        <f>VLOOKUP(B20,'Annexe liste a câble'!B:J,9,FALSE)</f>
        <v>6.1064122435583128</v>
      </c>
    </row>
    <row r="21" spans="1:19" s="115" customFormat="1" x14ac:dyDescent="0.25">
      <c r="A21" s="109" t="s">
        <v>67</v>
      </c>
      <c r="B21" s="109" t="s">
        <v>45</v>
      </c>
      <c r="C21" s="110" t="s">
        <v>273</v>
      </c>
      <c r="D21" s="109"/>
      <c r="E21" s="109"/>
      <c r="F21" s="109"/>
      <c r="G21" s="111"/>
      <c r="H21" s="112"/>
      <c r="I21" s="113"/>
      <c r="J21" s="109"/>
      <c r="K21" s="109"/>
      <c r="L21" s="114"/>
      <c r="M21" s="109" t="str">
        <f t="shared" si="0"/>
        <v/>
      </c>
      <c r="N21" s="109" t="str">
        <f>IF($I21&lt;&gt;"",'Annexe liste a câble'!C21+(ROUND((SQRT(3)*((0.0171*($K21/$I21))*$L21)*$D21)/($E21/100),2)),"")</f>
        <v/>
      </c>
      <c r="O21" s="114" t="str">
        <f>VLOOKUP(B21,'Annexe liste a câble'!B:J,9,FALSE)</f>
        <v/>
      </c>
    </row>
    <row r="22" spans="1:19" s="115" customFormat="1" x14ac:dyDescent="0.25">
      <c r="A22" s="109" t="s">
        <v>67</v>
      </c>
      <c r="B22" s="109" t="s">
        <v>40</v>
      </c>
      <c r="C22" s="110" t="s">
        <v>274</v>
      </c>
      <c r="D22" s="109">
        <v>250</v>
      </c>
      <c r="E22" s="109">
        <v>400</v>
      </c>
      <c r="F22" s="109"/>
      <c r="G22" s="111">
        <v>3</v>
      </c>
      <c r="H22" s="112" t="s">
        <v>251</v>
      </c>
      <c r="I22" s="113">
        <v>50</v>
      </c>
      <c r="J22" s="109">
        <v>25</v>
      </c>
      <c r="K22" s="109">
        <v>50</v>
      </c>
      <c r="L22" s="114">
        <v>0.9</v>
      </c>
      <c r="M22" s="109">
        <f t="shared" si="0"/>
        <v>1.67</v>
      </c>
      <c r="N22" s="109">
        <f>IF($I22&lt;&gt;"",'Annexe liste a câble'!C22+(ROUND((SQRT(3)*((0.0171*($K22/$I22))*$L22)*$D22)/($E22/100),2)),"")</f>
        <v>1.67</v>
      </c>
      <c r="O22" s="114">
        <f>VLOOKUP(B22,'Annexe liste a câble'!B:J,9,FALSE)</f>
        <v>7.5562574455299361</v>
      </c>
    </row>
    <row r="23" spans="1:19" x14ac:dyDescent="0.25">
      <c r="A23" s="5" t="s">
        <v>67</v>
      </c>
      <c r="B23" s="5" t="s">
        <v>153</v>
      </c>
      <c r="C23" s="89" t="s">
        <v>280</v>
      </c>
      <c r="D23" s="5"/>
      <c r="E23" s="5"/>
      <c r="F23" s="5"/>
      <c r="G23" s="74"/>
      <c r="H23" s="76"/>
      <c r="I23" s="75"/>
      <c r="J23" s="5"/>
      <c r="K23" s="5"/>
      <c r="L23" s="73"/>
      <c r="M23" s="5" t="str">
        <f t="shared" si="0"/>
        <v/>
      </c>
      <c r="N23" s="5" t="str">
        <f>IF($I23&lt;&gt;"",'Annexe liste a câble'!C23+(ROUND((SQRT(3)*((0.0171*($K23/$I23))*$L23)*$D23)/($E23/100),2)),"")</f>
        <v/>
      </c>
      <c r="O23" s="73" t="str">
        <f>VLOOKUP(B23,'Annexe liste a câble'!B:J,9,FALSE)</f>
        <v/>
      </c>
      <c r="S23" s="1"/>
    </row>
    <row r="24" spans="1:19" x14ac:dyDescent="0.25">
      <c r="A24" s="5" t="s">
        <v>67</v>
      </c>
      <c r="B24" s="5" t="s">
        <v>62</v>
      </c>
      <c r="C24" s="89" t="s">
        <v>281</v>
      </c>
      <c r="D24" s="5"/>
      <c r="E24" s="5"/>
      <c r="F24" s="5"/>
      <c r="G24" s="74"/>
      <c r="H24" s="76"/>
      <c r="I24" s="75"/>
      <c r="J24" s="5"/>
      <c r="K24" s="5"/>
      <c r="L24" s="73"/>
      <c r="M24" s="5" t="str">
        <f t="shared" si="0"/>
        <v/>
      </c>
      <c r="N24" s="5" t="str">
        <f>IF($I24&lt;&gt;"",'Annexe liste a câble'!C24+(ROUND((SQRT(3)*((0.0171*($K24/$I24))*$L24)*$D24)/($E24/100),2)),"")</f>
        <v/>
      </c>
      <c r="O24" s="73" t="str">
        <f>VLOOKUP(B24,'Annexe liste a câble'!B:J,9,FALSE)</f>
        <v/>
      </c>
      <c r="S24" s="1"/>
    </row>
    <row r="25" spans="1:19" x14ac:dyDescent="0.25">
      <c r="A25" s="5" t="s">
        <v>62</v>
      </c>
      <c r="B25" s="5" t="s">
        <v>63</v>
      </c>
      <c r="C25" s="89" t="s">
        <v>390</v>
      </c>
      <c r="D25" s="5"/>
      <c r="E25" s="5"/>
      <c r="F25" s="5"/>
      <c r="G25" s="74"/>
      <c r="H25" s="76"/>
      <c r="I25" s="75"/>
      <c r="J25" s="5"/>
      <c r="K25" s="5"/>
      <c r="L25" s="73"/>
      <c r="M25" s="5"/>
      <c r="N25" s="5"/>
      <c r="O25" s="73"/>
      <c r="S25" s="1"/>
    </row>
    <row r="26" spans="1:19" x14ac:dyDescent="0.25">
      <c r="A26" s="5" t="s">
        <v>67</v>
      </c>
      <c r="B26" s="5" t="s">
        <v>48</v>
      </c>
      <c r="C26" s="89" t="s">
        <v>282</v>
      </c>
      <c r="D26" s="5"/>
      <c r="E26" s="5"/>
      <c r="F26" s="5"/>
      <c r="G26" s="74"/>
      <c r="H26" s="76"/>
      <c r="I26" s="75"/>
      <c r="J26" s="5"/>
      <c r="K26" s="5"/>
      <c r="L26" s="73"/>
      <c r="M26" s="5" t="str">
        <f t="shared" si="0"/>
        <v/>
      </c>
      <c r="N26" s="5" t="str">
        <f>IF($I26&lt;&gt;"",'Annexe liste a câble'!C26+(ROUND((SQRT(3)*((0.0171*($K26/$I26))*$L26)*$D26)/($E26/100),2)),"")</f>
        <v/>
      </c>
      <c r="O26" s="73" t="str">
        <f>VLOOKUP(B26,'Annexe liste a câble'!B:J,9,FALSE)</f>
        <v/>
      </c>
      <c r="S26" s="1"/>
    </row>
    <row r="27" spans="1:19" x14ac:dyDescent="0.25">
      <c r="A27" s="5" t="s">
        <v>67</v>
      </c>
      <c r="B27" s="5" t="s">
        <v>61</v>
      </c>
      <c r="C27" s="89" t="s">
        <v>283</v>
      </c>
      <c r="D27" s="5">
        <v>40</v>
      </c>
      <c r="E27" s="5">
        <v>400</v>
      </c>
      <c r="F27" s="5"/>
      <c r="G27" s="74">
        <v>5</v>
      </c>
      <c r="H27" s="76" t="s">
        <v>366</v>
      </c>
      <c r="I27" s="75">
        <v>6</v>
      </c>
      <c r="J27" s="5"/>
      <c r="K27" s="5">
        <v>80</v>
      </c>
      <c r="L27" s="73">
        <v>1</v>
      </c>
      <c r="M27" s="5">
        <f t="shared" si="0"/>
        <v>3.95</v>
      </c>
      <c r="N27" s="5">
        <f>IF($I27&lt;&gt;"",'Annexe liste a câble'!C27+(ROUND((SQRT(3)*((0.0171*($K27/$I27))*$L27)*$D27)/($E27/100),2)),"")</f>
        <v>3.95</v>
      </c>
      <c r="O27" s="73">
        <f>VLOOKUP(B27,'Annexe liste a câble'!B:J,9,FALSE)</f>
        <v>0.93030150262671496</v>
      </c>
      <c r="S27" s="1"/>
    </row>
    <row r="28" spans="1:19" x14ac:dyDescent="0.25">
      <c r="A28" s="5" t="s">
        <v>67</v>
      </c>
      <c r="B28" s="5" t="s">
        <v>49</v>
      </c>
      <c r="C28" s="89" t="s">
        <v>284</v>
      </c>
      <c r="D28" s="5"/>
      <c r="E28" s="5"/>
      <c r="F28" s="5"/>
      <c r="G28" s="74"/>
      <c r="H28" s="76"/>
      <c r="I28" s="75"/>
      <c r="J28" s="5"/>
      <c r="K28" s="5"/>
      <c r="L28" s="73"/>
      <c r="M28" s="5" t="str">
        <f t="shared" si="0"/>
        <v/>
      </c>
      <c r="N28" s="5" t="str">
        <f>IF($I28&lt;&gt;"",'Annexe liste a câble'!C28+(ROUND((SQRT(3)*((0.0171*($K28/$I28))*$L28)*$D28)/($E28/100),2)),"")</f>
        <v/>
      </c>
      <c r="O28" s="73" t="str">
        <f>VLOOKUP(B28,'Annexe liste a câble'!B:J,9,FALSE)</f>
        <v/>
      </c>
      <c r="S28" s="1"/>
    </row>
    <row r="29" spans="1:19" x14ac:dyDescent="0.25">
      <c r="A29" s="5" t="s">
        <v>67</v>
      </c>
      <c r="B29" s="5" t="s">
        <v>50</v>
      </c>
      <c r="C29" s="89" t="s">
        <v>285</v>
      </c>
      <c r="D29" s="5"/>
      <c r="E29" s="5"/>
      <c r="F29" s="5"/>
      <c r="G29" s="74"/>
      <c r="H29" s="76"/>
      <c r="I29" s="75"/>
      <c r="J29" s="5"/>
      <c r="K29" s="5"/>
      <c r="L29" s="73"/>
      <c r="M29" s="5" t="str">
        <f t="shared" si="0"/>
        <v/>
      </c>
      <c r="N29" s="5" t="str">
        <f>IF($I29&lt;&gt;"",'Annexe liste a câble'!C29+(ROUND((SQRT(3)*((0.0171*($K29/$I29))*$L29)*$D29)/($E29/100),2)),"")</f>
        <v/>
      </c>
      <c r="O29" s="73" t="str">
        <f>VLOOKUP(B29,'Annexe liste a câble'!B:J,9,FALSE)</f>
        <v/>
      </c>
      <c r="S29" s="1"/>
    </row>
    <row r="30" spans="1:19" x14ac:dyDescent="0.25">
      <c r="A30" s="5" t="s">
        <v>67</v>
      </c>
      <c r="B30" s="5" t="s">
        <v>134</v>
      </c>
      <c r="C30" s="89" t="s">
        <v>291</v>
      </c>
      <c r="D30" s="5"/>
      <c r="E30" s="5"/>
      <c r="F30" s="5"/>
      <c r="G30" s="74"/>
      <c r="H30" s="76"/>
      <c r="I30" s="75"/>
      <c r="J30" s="5"/>
      <c r="K30" s="5"/>
      <c r="L30" s="73"/>
      <c r="M30" s="5" t="str">
        <f t="shared" si="0"/>
        <v/>
      </c>
      <c r="N30" s="5" t="str">
        <f>IF($I30&lt;&gt;"",'Annexe liste a câble'!C30+(ROUND((SQRT(3)*((0.0171*($K30/$I30))*$L30)*$D30)/($E30/100),2)),"")</f>
        <v/>
      </c>
      <c r="O30" s="73" t="str">
        <f>VLOOKUP(B30,'Annexe liste a câble'!B:J,9,FALSE)</f>
        <v/>
      </c>
      <c r="S30" s="1"/>
    </row>
    <row r="31" spans="1:19" x14ac:dyDescent="0.25">
      <c r="A31" s="5" t="s">
        <v>67</v>
      </c>
      <c r="B31" s="5" t="s">
        <v>51</v>
      </c>
      <c r="C31" s="89" t="s">
        <v>306</v>
      </c>
      <c r="D31" s="5"/>
      <c r="E31" s="5"/>
      <c r="F31" s="5"/>
      <c r="G31" s="74"/>
      <c r="H31" s="76"/>
      <c r="I31" s="75"/>
      <c r="J31" s="5"/>
      <c r="K31" s="5"/>
      <c r="L31" s="73"/>
      <c r="M31" s="5" t="str">
        <f t="shared" si="0"/>
        <v/>
      </c>
      <c r="N31" s="5" t="str">
        <f>IF($I31&lt;&gt;"",'Annexe liste a câble'!C31+(ROUND((SQRT(3)*((0.0171*($K31/$I31))*$L31)*$D31)/($E31/100),2)),"")</f>
        <v/>
      </c>
      <c r="O31" s="73" t="str">
        <f>VLOOKUP(B31,'Annexe liste a câble'!B:J,9,FALSE)</f>
        <v/>
      </c>
      <c r="S31" s="1"/>
    </row>
    <row r="32" spans="1:19" x14ac:dyDescent="0.25">
      <c r="A32" s="5" t="s">
        <v>67</v>
      </c>
      <c r="B32" s="5" t="s">
        <v>60</v>
      </c>
      <c r="C32" s="89" t="s">
        <v>307</v>
      </c>
      <c r="D32" s="5"/>
      <c r="E32" s="5"/>
      <c r="F32" s="5"/>
      <c r="G32" s="74"/>
      <c r="H32" s="76"/>
      <c r="I32" s="75"/>
      <c r="J32" s="5"/>
      <c r="K32" s="5"/>
      <c r="L32" s="73"/>
      <c r="M32" s="5" t="str">
        <f t="shared" si="0"/>
        <v/>
      </c>
      <c r="N32" s="5" t="str">
        <f>IF($I32&lt;&gt;"",'Annexe liste a câble'!C32+(ROUND((SQRT(3)*((0.0171*($K32/$I32))*$L32)*$D32)/($E32/100),2)),"")</f>
        <v/>
      </c>
      <c r="O32" s="73" t="str">
        <f>VLOOKUP(B32,'Annexe liste a câble'!B:J,9,FALSE)</f>
        <v/>
      </c>
      <c r="S32" s="1"/>
    </row>
    <row r="33" spans="1:19" x14ac:dyDescent="0.25">
      <c r="A33" s="5" t="s">
        <v>67</v>
      </c>
      <c r="B33" s="5"/>
      <c r="C33" s="89" t="s">
        <v>333</v>
      </c>
      <c r="D33" s="5"/>
      <c r="E33" s="5"/>
      <c r="F33" s="5"/>
      <c r="G33" s="74"/>
      <c r="H33" s="76"/>
      <c r="I33" s="75"/>
      <c r="J33" s="5"/>
      <c r="K33" s="5"/>
      <c r="L33" s="73"/>
      <c r="M33" s="5" t="str">
        <f t="shared" si="0"/>
        <v/>
      </c>
      <c r="N33" s="5" t="str">
        <f>IF($I33&lt;&gt;"",'Annexe liste a câble'!C33+(ROUND((SQRT(3)*((0.0171*($K33/$I33))*$L33)*$D33)/($E33/100),2)),"")</f>
        <v/>
      </c>
      <c r="O33" s="73" t="str">
        <f>VLOOKUP(B33,'Annexe liste a câble'!B:J,9,FALSE)</f>
        <v/>
      </c>
      <c r="S33" s="1"/>
    </row>
    <row r="34" spans="1:19" x14ac:dyDescent="0.25">
      <c r="A34" s="5" t="s">
        <v>116</v>
      </c>
      <c r="B34" s="5" t="s">
        <v>195</v>
      </c>
      <c r="C34" s="89" t="s">
        <v>322</v>
      </c>
      <c r="D34" s="5">
        <v>32</v>
      </c>
      <c r="E34" s="5">
        <v>400</v>
      </c>
      <c r="F34" s="5" t="s">
        <v>357</v>
      </c>
      <c r="G34" s="74">
        <v>4</v>
      </c>
      <c r="H34" s="76" t="s">
        <v>251</v>
      </c>
      <c r="I34" s="75">
        <v>10</v>
      </c>
      <c r="J34" s="5"/>
      <c r="K34" s="5">
        <v>45</v>
      </c>
      <c r="L34" s="73">
        <v>0.9</v>
      </c>
      <c r="M34" s="5">
        <f t="shared" si="0"/>
        <v>0.96</v>
      </c>
      <c r="N34" s="5">
        <f>IF($I34&lt;&gt;"",'Annexe liste a câble'!C34+(ROUND((SQRT(3)*((0.0171*($K34/$I34))*$L34)*$D34)/($E34/100),2)),"")</f>
        <v>1.79</v>
      </c>
      <c r="O34" s="73">
        <f>VLOOKUP(B34,'Annexe liste a câble'!B:J,9,FALSE)</f>
        <v>2.1169446207499081</v>
      </c>
      <c r="S34" s="1"/>
    </row>
    <row r="35" spans="1:19" x14ac:dyDescent="0.25">
      <c r="A35" s="5" t="s">
        <v>116</v>
      </c>
      <c r="B35" s="5" t="s">
        <v>176</v>
      </c>
      <c r="C35" s="89" t="s">
        <v>321</v>
      </c>
      <c r="D35" s="5">
        <v>32</v>
      </c>
      <c r="E35" s="5">
        <v>400</v>
      </c>
      <c r="F35" s="5" t="s">
        <v>357</v>
      </c>
      <c r="G35" s="74">
        <v>4</v>
      </c>
      <c r="H35" s="76" t="s">
        <v>251</v>
      </c>
      <c r="I35" s="75">
        <v>10</v>
      </c>
      <c r="J35" s="5"/>
      <c r="K35" s="5">
        <v>65</v>
      </c>
      <c r="L35" s="73">
        <v>0.9</v>
      </c>
      <c r="M35" s="5">
        <f t="shared" si="0"/>
        <v>1.39</v>
      </c>
      <c r="N35" s="5">
        <f>IF($I35&lt;&gt;"",'Annexe liste a câble'!C35+(ROUND((SQRT(3)*((0.0171*($K35/$I35))*$L35)*$D35)/($E35/100),2)),"")</f>
        <v>2.2199999999999998</v>
      </c>
      <c r="O35" s="73">
        <f>VLOOKUP(B35,'Annexe liste a câble'!B:J,9,FALSE)</f>
        <v>1.5960332088838283</v>
      </c>
      <c r="S35" s="1"/>
    </row>
    <row r="36" spans="1:19" x14ac:dyDescent="0.25">
      <c r="A36" s="5" t="s">
        <v>133</v>
      </c>
      <c r="B36" s="5" t="s">
        <v>266</v>
      </c>
      <c r="C36" s="89" t="s">
        <v>316</v>
      </c>
      <c r="D36" s="5">
        <v>20</v>
      </c>
      <c r="E36" s="5">
        <v>400</v>
      </c>
      <c r="F36" s="5" t="s">
        <v>357</v>
      </c>
      <c r="G36" s="74">
        <v>5</v>
      </c>
      <c r="H36" s="76" t="s">
        <v>366</v>
      </c>
      <c r="I36" s="75">
        <v>4</v>
      </c>
      <c r="J36" s="5"/>
      <c r="K36" s="5">
        <v>70</v>
      </c>
      <c r="L36" s="73">
        <v>0.9</v>
      </c>
      <c r="M36" s="5">
        <f t="shared" si="0"/>
        <v>2.33</v>
      </c>
      <c r="N36" s="5">
        <f>IF($I36&lt;&gt;"",'Annexe liste a câble'!C36+(ROUND((SQRT(3)*((0.0171*($K36/$I36))*$L36)*$D36)/($E36/100),2)),"")</f>
        <v>3.27</v>
      </c>
      <c r="O36" s="73">
        <f>VLOOKUP(B36,'Annexe liste a câble'!B:J,9,FALSE)</f>
        <v>0.65211196817039641</v>
      </c>
      <c r="S36" s="1"/>
    </row>
    <row r="37" spans="1:19" x14ac:dyDescent="0.25">
      <c r="A37" s="5" t="s">
        <v>116</v>
      </c>
      <c r="B37" s="5" t="s">
        <v>13</v>
      </c>
      <c r="C37" s="89" t="s">
        <v>317</v>
      </c>
      <c r="D37" s="5">
        <v>32</v>
      </c>
      <c r="E37" s="5">
        <v>400</v>
      </c>
      <c r="F37" s="5" t="s">
        <v>357</v>
      </c>
      <c r="G37" s="74">
        <v>4</v>
      </c>
      <c r="H37" s="76" t="s">
        <v>251</v>
      </c>
      <c r="I37" s="75">
        <v>10</v>
      </c>
      <c r="J37" s="5"/>
      <c r="K37" s="5">
        <v>70</v>
      </c>
      <c r="L37" s="73">
        <v>0.9</v>
      </c>
      <c r="M37" s="5">
        <f t="shared" si="0"/>
        <v>1.49</v>
      </c>
      <c r="N37" s="5">
        <f>IF($I37&lt;&gt;"",'Annexe liste a câble'!C37+(ROUND((SQRT(3)*((0.0171*($K37/$I37))*$L37)*$D37)/($E37/100),2)),"")</f>
        <v>2.3199999999999998</v>
      </c>
      <c r="O37" s="73">
        <f>VLOOKUP(B37,'Annexe liste a câble'!B:J,9,FALSE)</f>
        <v>1.5024924334900707</v>
      </c>
      <c r="S37" s="1"/>
    </row>
    <row r="38" spans="1:19" x14ac:dyDescent="0.25">
      <c r="A38" s="5" t="s">
        <v>116</v>
      </c>
      <c r="B38" s="5" t="s">
        <v>14</v>
      </c>
      <c r="C38" s="89" t="s">
        <v>318</v>
      </c>
      <c r="D38" s="5">
        <v>32</v>
      </c>
      <c r="E38" s="5">
        <v>400</v>
      </c>
      <c r="F38" s="5" t="s">
        <v>357</v>
      </c>
      <c r="G38" s="74">
        <v>4</v>
      </c>
      <c r="H38" s="76" t="s">
        <v>251</v>
      </c>
      <c r="I38" s="75">
        <v>10</v>
      </c>
      <c r="J38" s="5"/>
      <c r="K38" s="5">
        <v>80</v>
      </c>
      <c r="L38" s="73">
        <v>0.9</v>
      </c>
      <c r="M38" s="5">
        <f t="shared" ref="M38:M70" si="1">IF($I38&lt;&gt;"",(ROUND((SQRT(3)*((0.0171*($K38/$I38))*$L38)*$D38)/(E38/100),2)),"")</f>
        <v>1.71</v>
      </c>
      <c r="N38" s="5">
        <f>IF($I38&lt;&gt;"",'Annexe liste a câble'!C38+(ROUND((SQRT(3)*((0.0171*($K38/$I38))*$L38)*$D38)/($E38/100),2)),"")</f>
        <v>2.54</v>
      </c>
      <c r="O38" s="73">
        <f>VLOOKUP(B38,'Annexe liste a câble'!B:J,9,FALSE)</f>
        <v>1.3442156118176976</v>
      </c>
      <c r="S38" s="1"/>
    </row>
    <row r="39" spans="1:19" x14ac:dyDescent="0.25">
      <c r="A39" s="5" t="s">
        <v>116</v>
      </c>
      <c r="B39" s="5" t="s">
        <v>12</v>
      </c>
      <c r="C39" s="89" t="s">
        <v>319</v>
      </c>
      <c r="D39" s="5">
        <v>32</v>
      </c>
      <c r="E39" s="5">
        <v>400</v>
      </c>
      <c r="F39" s="5" t="s">
        <v>357</v>
      </c>
      <c r="G39" s="74">
        <v>4</v>
      </c>
      <c r="H39" s="76" t="s">
        <v>251</v>
      </c>
      <c r="I39" s="75">
        <v>10</v>
      </c>
      <c r="J39" s="5"/>
      <c r="K39" s="5">
        <v>50</v>
      </c>
      <c r="L39" s="73">
        <v>0.9</v>
      </c>
      <c r="M39" s="5">
        <f t="shared" si="1"/>
        <v>1.07</v>
      </c>
      <c r="N39" s="5">
        <f>IF($I39&lt;&gt;"",'Annexe liste a câble'!C39+(ROUND((SQRT(3)*((0.0171*($K39/$I39))*$L39)*$D39)/($E39/100),2)),"")</f>
        <v>1.9</v>
      </c>
      <c r="O39" s="73">
        <f>VLOOKUP(B39,'Annexe liste a câble'!B:J,9,FALSE)</f>
        <v>1.9586334546638822</v>
      </c>
      <c r="S39" s="1"/>
    </row>
    <row r="40" spans="1:19" x14ac:dyDescent="0.25">
      <c r="A40" s="5" t="s">
        <v>116</v>
      </c>
      <c r="B40" s="5" t="s">
        <v>11</v>
      </c>
      <c r="C40" s="89" t="s">
        <v>320</v>
      </c>
      <c r="D40" s="5">
        <v>32</v>
      </c>
      <c r="E40" s="5">
        <v>400</v>
      </c>
      <c r="F40" s="5" t="s">
        <v>364</v>
      </c>
      <c r="G40" s="74">
        <v>4</v>
      </c>
      <c r="H40" s="76" t="s">
        <v>251</v>
      </c>
      <c r="I40" s="75">
        <v>10</v>
      </c>
      <c r="J40" s="5"/>
      <c r="K40" s="5">
        <v>30</v>
      </c>
      <c r="L40" s="73">
        <v>0.9</v>
      </c>
      <c r="M40" s="5">
        <f t="shared" si="1"/>
        <v>0.64</v>
      </c>
      <c r="N40" s="5">
        <f>IF($I40&lt;&gt;"",'Annexe liste a câble'!C40+(ROUND((SQRT(3)*((0.0171*($K40/$I40))*$L40)*$D40)/($E40/100),2)),"")</f>
        <v>1.47</v>
      </c>
      <c r="O40" s="73">
        <f>VLOOKUP(B40,'Annexe liste a câble'!B:J,9,FALSE)</f>
        <v>2.7749846070036264</v>
      </c>
      <c r="S40" s="1"/>
    </row>
    <row r="41" spans="1:19" x14ac:dyDescent="0.25">
      <c r="A41" s="5" t="s">
        <v>116</v>
      </c>
      <c r="B41" s="5" t="s">
        <v>2</v>
      </c>
      <c r="C41" s="89" t="s">
        <v>323</v>
      </c>
      <c r="D41" s="5">
        <v>32</v>
      </c>
      <c r="E41" s="5">
        <v>400</v>
      </c>
      <c r="F41" s="5" t="s">
        <v>357</v>
      </c>
      <c r="G41" s="74">
        <v>4</v>
      </c>
      <c r="H41" s="76" t="s">
        <v>251</v>
      </c>
      <c r="I41" s="75">
        <v>10</v>
      </c>
      <c r="J41" s="5"/>
      <c r="K41" s="5">
        <v>40</v>
      </c>
      <c r="L41" s="73">
        <v>0.9</v>
      </c>
      <c r="M41" s="5">
        <f t="shared" si="1"/>
        <v>0.85</v>
      </c>
      <c r="N41" s="5">
        <f>IF($I41&lt;&gt;"",'Annexe liste a câble'!C41+(ROUND((SQRT(3)*((0.0171*($K41/$I41))*$L41)*$D41)/($E41/100),2)),"")</f>
        <v>1.68</v>
      </c>
      <c r="O41" s="73">
        <f>VLOOKUP(B41,'Annexe liste a câble'!B:J,9,FALSE)</f>
        <v>2.3012526720387569</v>
      </c>
      <c r="S41" s="1"/>
    </row>
    <row r="42" spans="1:19" x14ac:dyDescent="0.25">
      <c r="A42" s="5" t="s">
        <v>116</v>
      </c>
      <c r="B42" s="5" t="s">
        <v>6</v>
      </c>
      <c r="C42" s="89" t="s">
        <v>324</v>
      </c>
      <c r="D42" s="5"/>
      <c r="E42" s="5"/>
      <c r="F42" s="5"/>
      <c r="G42" s="74"/>
      <c r="H42" s="76"/>
      <c r="I42" s="75"/>
      <c r="J42" s="5"/>
      <c r="K42" s="5"/>
      <c r="L42" s="73"/>
      <c r="M42" s="5" t="str">
        <f t="shared" si="1"/>
        <v/>
      </c>
      <c r="N42" s="5" t="str">
        <f>IF($I42&lt;&gt;"",'Annexe liste a câble'!C42+(ROUND((SQRT(3)*((0.0171*($K42/$I42))*$L42)*$D42)/($E42/100),2)),"")</f>
        <v/>
      </c>
      <c r="O42" s="73" t="str">
        <f>VLOOKUP(B42,'Annexe liste a câble'!B:J,9,FALSE)</f>
        <v/>
      </c>
      <c r="S42" s="1"/>
    </row>
    <row r="43" spans="1:19" x14ac:dyDescent="0.25">
      <c r="A43" s="5" t="s">
        <v>116</v>
      </c>
      <c r="B43" s="5" t="s">
        <v>201</v>
      </c>
      <c r="C43" s="89" t="s">
        <v>325</v>
      </c>
      <c r="D43" s="5"/>
      <c r="E43" s="5"/>
      <c r="F43" s="5"/>
      <c r="G43" s="74"/>
      <c r="H43" s="76"/>
      <c r="I43" s="75"/>
      <c r="J43" s="5"/>
      <c r="K43" s="5"/>
      <c r="L43" s="73"/>
      <c r="M43" s="5" t="str">
        <f t="shared" si="1"/>
        <v/>
      </c>
      <c r="N43" s="5" t="str">
        <f>IF($I43&lt;&gt;"",'Annexe liste a câble'!C43+(ROUND((SQRT(3)*((0.0171*($K43/$I43))*$L43)*$D43)/($E43/100),2)),"")</f>
        <v/>
      </c>
      <c r="O43" s="73" t="str">
        <f>VLOOKUP(B43,'Annexe liste a câble'!B:J,9,FALSE)</f>
        <v/>
      </c>
      <c r="S43" s="1"/>
    </row>
    <row r="44" spans="1:19" x14ac:dyDescent="0.25">
      <c r="A44" s="5" t="s">
        <v>116</v>
      </c>
      <c r="B44" s="5" t="s">
        <v>7</v>
      </c>
      <c r="C44" s="89" t="s">
        <v>326</v>
      </c>
      <c r="D44" s="5"/>
      <c r="E44" s="5"/>
      <c r="F44" s="5"/>
      <c r="G44" s="74"/>
      <c r="H44" s="76"/>
      <c r="I44" s="75"/>
      <c r="J44" s="5"/>
      <c r="K44" s="5"/>
      <c r="L44" s="73"/>
      <c r="M44" s="5" t="str">
        <f t="shared" si="1"/>
        <v/>
      </c>
      <c r="N44" s="5" t="str">
        <f>IF($I44&lt;&gt;"",'Annexe liste a câble'!C44+(ROUND((SQRT(3)*((0.0171*($K44/$I44))*$L44)*$D44)/($E44/100),2)),"")</f>
        <v/>
      </c>
      <c r="O44" s="73" t="str">
        <f>VLOOKUP(B44,'Annexe liste a câble'!B:J,9,FALSE)</f>
        <v/>
      </c>
      <c r="S44" s="1"/>
    </row>
    <row r="45" spans="1:19" x14ac:dyDescent="0.25">
      <c r="A45" s="5" t="s">
        <v>116</v>
      </c>
      <c r="B45" s="5" t="s">
        <v>177</v>
      </c>
      <c r="C45" s="89" t="s">
        <v>327</v>
      </c>
      <c r="D45" s="5"/>
      <c r="E45" s="5"/>
      <c r="F45" s="5"/>
      <c r="G45" s="74"/>
      <c r="H45" s="76"/>
      <c r="I45" s="75"/>
      <c r="J45" s="5"/>
      <c r="K45" s="5"/>
      <c r="L45" s="73"/>
      <c r="M45" s="5" t="str">
        <f t="shared" si="1"/>
        <v/>
      </c>
      <c r="N45" s="5" t="str">
        <f>IF($I45&lt;&gt;"",'Annexe liste a câble'!C45+(ROUND((SQRT(3)*((0.0171*($K45/$I45))*$L45)*$D45)/($E45/100),2)),"")</f>
        <v/>
      </c>
      <c r="O45" s="73" t="str">
        <f>VLOOKUP(B45,'Annexe liste a câble'!B:J,9,FALSE)</f>
        <v/>
      </c>
      <c r="S45" s="1"/>
    </row>
    <row r="46" spans="1:19" x14ac:dyDescent="0.25">
      <c r="A46" s="5" t="s">
        <v>116</v>
      </c>
      <c r="B46" s="5" t="s">
        <v>133</v>
      </c>
      <c r="C46" s="89" t="s">
        <v>328</v>
      </c>
      <c r="D46" s="5">
        <v>32</v>
      </c>
      <c r="E46" s="5">
        <v>400</v>
      </c>
      <c r="F46" s="5" t="s">
        <v>357</v>
      </c>
      <c r="G46" s="74">
        <v>4</v>
      </c>
      <c r="H46" s="76" t="s">
        <v>251</v>
      </c>
      <c r="I46" s="75">
        <v>10</v>
      </c>
      <c r="J46" s="5"/>
      <c r="K46" s="5">
        <v>5</v>
      </c>
      <c r="L46" s="73">
        <v>0.9</v>
      </c>
      <c r="M46" s="5">
        <f t="shared" si="1"/>
        <v>0.11</v>
      </c>
      <c r="N46" s="5">
        <f>IF($I46&lt;&gt;"",'Annexe liste a câble'!C46+(ROUND((SQRT(3)*((0.0171*($K46/$I46))*$L46)*$D46)/($E46/100),2)),"")</f>
        <v>0.94</v>
      </c>
      <c r="O46" s="73">
        <f>VLOOKUP(B46,'Annexe liste a câble'!B:J,9,FALSE)</f>
        <v>5.0797241974596634</v>
      </c>
      <c r="S46" s="1"/>
    </row>
    <row r="47" spans="1:19" x14ac:dyDescent="0.25">
      <c r="A47" s="5" t="s">
        <v>116</v>
      </c>
      <c r="B47" s="5" t="s">
        <v>267</v>
      </c>
      <c r="C47" s="89" t="s">
        <v>330</v>
      </c>
      <c r="D47" s="5">
        <v>32</v>
      </c>
      <c r="E47" s="5">
        <v>400</v>
      </c>
      <c r="F47" s="5" t="s">
        <v>357</v>
      </c>
      <c r="G47" s="74">
        <v>4</v>
      </c>
      <c r="H47" s="76" t="s">
        <v>251</v>
      </c>
      <c r="I47" s="75">
        <v>10</v>
      </c>
      <c r="J47" s="5"/>
      <c r="K47" s="5">
        <v>15</v>
      </c>
      <c r="L47" s="73">
        <v>0.9</v>
      </c>
      <c r="M47" s="5">
        <f t="shared" si="1"/>
        <v>0.32</v>
      </c>
      <c r="N47" s="5">
        <f>IF($I47&lt;&gt;"",'Annexe liste a câble'!C47+(ROUND((SQRT(3)*((0.0171*($K47/$I47))*$L47)*$D47)/($E47/100),2)),"")</f>
        <v>1.1499999999999999</v>
      </c>
      <c r="O47" s="73">
        <f>VLOOKUP(B47,'Annexe liste a câble'!B:J,9,FALSE)</f>
        <v>3.9060475694920256</v>
      </c>
      <c r="S47" s="1"/>
    </row>
    <row r="48" spans="1:19" x14ac:dyDescent="0.25">
      <c r="A48" s="5" t="s">
        <v>116</v>
      </c>
      <c r="B48" s="5" t="s">
        <v>1</v>
      </c>
      <c r="C48" s="89" t="s">
        <v>329</v>
      </c>
      <c r="D48" s="5"/>
      <c r="E48" s="5"/>
      <c r="F48" s="5"/>
      <c r="G48" s="74"/>
      <c r="H48" s="76"/>
      <c r="I48" s="75"/>
      <c r="J48" s="5"/>
      <c r="K48" s="5"/>
      <c r="L48" s="73"/>
      <c r="M48" s="5" t="str">
        <f t="shared" si="1"/>
        <v/>
      </c>
      <c r="N48" s="5" t="str">
        <f>IF($I48&lt;&gt;"",'Annexe liste a câble'!C48+(ROUND((SQRT(3)*((0.0171*($K48/$I48))*$L48)*$D48)/($E48/100),2)),"")</f>
        <v/>
      </c>
      <c r="O48" s="73" t="str">
        <f>VLOOKUP(B48,'Annexe liste a câble'!B:J,9,FALSE)</f>
        <v/>
      </c>
      <c r="S48" s="1"/>
    </row>
    <row r="49" spans="1:19" x14ac:dyDescent="0.25">
      <c r="A49" s="5" t="s">
        <v>116</v>
      </c>
      <c r="B49" s="5" t="s">
        <v>10</v>
      </c>
      <c r="C49" s="89" t="s">
        <v>334</v>
      </c>
      <c r="D49" s="5"/>
      <c r="E49" s="5"/>
      <c r="F49" s="5"/>
      <c r="G49" s="74"/>
      <c r="H49" s="76"/>
      <c r="I49" s="75"/>
      <c r="J49" s="5"/>
      <c r="K49" s="5"/>
      <c r="L49" s="73"/>
      <c r="M49" s="5" t="str">
        <f t="shared" si="1"/>
        <v/>
      </c>
      <c r="N49" s="5" t="str">
        <f>IF($I49&lt;&gt;"",'Annexe liste a câble'!C49+(ROUND((SQRT(3)*((0.0171*($K49/$I49))*$L49)*$D49)/($E49/100),2)),"")</f>
        <v/>
      </c>
      <c r="O49" s="73" t="str">
        <f>VLOOKUP(B49,'Annexe liste a câble'!B:J,9,FALSE)</f>
        <v/>
      </c>
      <c r="S49" s="1"/>
    </row>
    <row r="50" spans="1:19" x14ac:dyDescent="0.25">
      <c r="A50" s="5" t="s">
        <v>101</v>
      </c>
      <c r="B50" s="5" t="s">
        <v>53</v>
      </c>
      <c r="C50" s="89" t="s">
        <v>308</v>
      </c>
      <c r="D50" s="5">
        <v>63</v>
      </c>
      <c r="E50" s="5">
        <v>400</v>
      </c>
      <c r="F50" s="5" t="s">
        <v>364</v>
      </c>
      <c r="G50" s="74">
        <v>4</v>
      </c>
      <c r="H50" s="76" t="s">
        <v>251</v>
      </c>
      <c r="I50" s="75">
        <v>25</v>
      </c>
      <c r="J50" s="5"/>
      <c r="K50" s="5">
        <v>45</v>
      </c>
      <c r="L50" s="73">
        <v>0.85</v>
      </c>
      <c r="M50" s="5">
        <f t="shared" si="1"/>
        <v>0.71</v>
      </c>
      <c r="N50" s="5">
        <f>IF($I50&lt;&gt;"",'Annexe liste a câble'!C50+(ROUND((SQRT(3)*((0.0171*($K50/$I50))*$L50)*$D50)/($E50/100),2)),"")</f>
        <v>2.25</v>
      </c>
      <c r="O50" s="73">
        <f>VLOOKUP(B50,'Annexe liste a câble'!B:J,9,FALSE)</f>
        <v>2.9898270662256601</v>
      </c>
      <c r="S50" s="1"/>
    </row>
    <row r="51" spans="1:19" x14ac:dyDescent="0.25">
      <c r="A51" s="5" t="s">
        <v>101</v>
      </c>
      <c r="B51" s="5" t="s">
        <v>54</v>
      </c>
      <c r="C51" s="89" t="s">
        <v>309</v>
      </c>
      <c r="D51" s="5"/>
      <c r="E51" s="5"/>
      <c r="F51" s="5"/>
      <c r="G51" s="74"/>
      <c r="H51" s="76"/>
      <c r="I51" s="75"/>
      <c r="J51" s="5"/>
      <c r="K51" s="5"/>
      <c r="L51" s="73"/>
      <c r="M51" s="5" t="str">
        <f t="shared" si="1"/>
        <v/>
      </c>
      <c r="N51" s="5" t="str">
        <f>IF($I51&lt;&gt;"",'Annexe liste a câble'!C51+(ROUND((SQRT(3)*((0.0171*($K51/$I51))*$L51)*$D51)/($E51/100),2)),"")</f>
        <v/>
      </c>
      <c r="O51" s="73" t="str">
        <f>VLOOKUP(B51,'Annexe liste a câble'!B:J,9,FALSE)</f>
        <v/>
      </c>
      <c r="S51" s="1"/>
    </row>
    <row r="52" spans="1:19" x14ac:dyDescent="0.25">
      <c r="A52" s="5" t="s">
        <v>101</v>
      </c>
      <c r="B52" s="5" t="s">
        <v>55</v>
      </c>
      <c r="C52" s="89" t="s">
        <v>310</v>
      </c>
      <c r="D52" s="5"/>
      <c r="E52" s="5"/>
      <c r="F52" s="5"/>
      <c r="G52" s="74"/>
      <c r="H52" s="76"/>
      <c r="I52" s="75"/>
      <c r="J52" s="5"/>
      <c r="K52" s="5"/>
      <c r="L52" s="73"/>
      <c r="M52" s="5" t="str">
        <f t="shared" si="1"/>
        <v/>
      </c>
      <c r="N52" s="5" t="str">
        <f>IF($I52&lt;&gt;"",'Annexe liste a câble'!C52+(ROUND((SQRT(3)*((0.0171*($K52/$I52))*$L52)*$D52)/($E52/100),2)),"")</f>
        <v/>
      </c>
      <c r="O52" s="73" t="str">
        <f>VLOOKUP(B52,'Annexe liste a câble'!B:J,9,FALSE)</f>
        <v/>
      </c>
      <c r="S52" s="1"/>
    </row>
    <row r="53" spans="1:19" x14ac:dyDescent="0.25">
      <c r="A53" s="5" t="s">
        <v>101</v>
      </c>
      <c r="B53" s="5" t="s">
        <v>168</v>
      </c>
      <c r="C53" s="89" t="s">
        <v>311</v>
      </c>
      <c r="D53" s="5"/>
      <c r="E53" s="5"/>
      <c r="F53" s="5"/>
      <c r="G53" s="74"/>
      <c r="H53" s="76"/>
      <c r="I53" s="75"/>
      <c r="J53" s="5"/>
      <c r="K53" s="5"/>
      <c r="L53" s="73"/>
      <c r="M53" s="5" t="str">
        <f t="shared" si="1"/>
        <v/>
      </c>
      <c r="N53" s="5" t="str">
        <f>IF($I53&lt;&gt;"",'Annexe liste a câble'!C53+(ROUND((SQRT(3)*((0.0171*($K53/$I53))*$L53)*$D53)/($E53/100),2)),"")</f>
        <v/>
      </c>
      <c r="O53" s="73" t="str">
        <f>VLOOKUP(B53,'Annexe liste a câble'!B:J,9,FALSE)</f>
        <v/>
      </c>
      <c r="S53" s="1"/>
    </row>
    <row r="54" spans="1:19" x14ac:dyDescent="0.25">
      <c r="A54" s="5" t="s">
        <v>101</v>
      </c>
      <c r="B54" s="5" t="s">
        <v>52</v>
      </c>
      <c r="C54" s="89" t="s">
        <v>367</v>
      </c>
      <c r="D54" s="5">
        <v>40</v>
      </c>
      <c r="E54" s="5">
        <v>400</v>
      </c>
      <c r="F54" s="5" t="s">
        <v>357</v>
      </c>
      <c r="G54" s="74">
        <v>4</v>
      </c>
      <c r="H54" s="76" t="s">
        <v>251</v>
      </c>
      <c r="I54" s="75">
        <v>16</v>
      </c>
      <c r="J54" s="5"/>
      <c r="K54" s="5">
        <v>65</v>
      </c>
      <c r="L54" s="73">
        <v>0.85</v>
      </c>
      <c r="M54" s="5">
        <f t="shared" si="1"/>
        <v>1.02</v>
      </c>
      <c r="N54" s="5">
        <f>IF($I54&lt;&gt;"",'Annexe liste a câble'!C54+(ROUND((SQRT(3)*((0.0171*($K54/$I54))*$L54)*$D54)/($E54/100),2)),"")</f>
        <v>2.56</v>
      </c>
      <c r="O54" s="73">
        <f>VLOOKUP(B54,'Annexe liste a câble'!B:J,9,FALSE)</f>
        <v>1.9718877245100723</v>
      </c>
      <c r="S54" s="1"/>
    </row>
    <row r="55" spans="1:19" x14ac:dyDescent="0.25">
      <c r="A55" s="5" t="s">
        <v>101</v>
      </c>
      <c r="B55" s="5" t="s">
        <v>140</v>
      </c>
      <c r="C55" s="89" t="s">
        <v>389</v>
      </c>
      <c r="D55" s="5">
        <v>20</v>
      </c>
      <c r="E55" s="5">
        <v>400</v>
      </c>
      <c r="F55" s="5" t="s">
        <v>357</v>
      </c>
      <c r="G55" s="74">
        <v>4</v>
      </c>
      <c r="H55" s="76" t="s">
        <v>251</v>
      </c>
      <c r="I55" s="75">
        <v>10</v>
      </c>
      <c r="J55" s="5"/>
      <c r="K55" s="5">
        <v>5</v>
      </c>
      <c r="L55" s="73">
        <v>0.85</v>
      </c>
      <c r="M55" s="5">
        <f t="shared" ref="M55" si="2">IF($I55&lt;&gt;"",(ROUND((SQRT(3)*((0.0171*($K55/$I55))*$L55)*$D55)/(E55/100),2)),"")</f>
        <v>0.06</v>
      </c>
      <c r="N55" s="5">
        <f>IF($I55&lt;&gt;"",'Annexe liste a câble'!C55+(ROUND((SQRT(3)*((0.0171*($K55/$I55))*$L55)*$D55)/($E55/100),2)),"")</f>
        <v>1.6</v>
      </c>
      <c r="O55" s="73">
        <f>VLOOKUP(B55,'Annexe liste a câble'!B:J,9,FALSE)</f>
        <v>4.2403150171838977</v>
      </c>
      <c r="S55" s="1"/>
    </row>
    <row r="56" spans="1:19" x14ac:dyDescent="0.25">
      <c r="A56" s="5" t="s">
        <v>184</v>
      </c>
      <c r="B56" s="5" t="s">
        <v>36</v>
      </c>
      <c r="C56" s="89">
        <v>2201</v>
      </c>
      <c r="D56" s="5"/>
      <c r="E56" s="5"/>
      <c r="F56" s="5"/>
      <c r="G56" s="74"/>
      <c r="H56" s="76"/>
      <c r="I56" s="75"/>
      <c r="J56" s="5"/>
      <c r="K56" s="5"/>
      <c r="L56" s="73"/>
      <c r="M56" s="5" t="str">
        <f t="shared" si="1"/>
        <v/>
      </c>
      <c r="N56" s="5" t="str">
        <f>IF($I56&lt;&gt;"",'Annexe liste a câble'!C56+(ROUND((SQRT(3)*((0.0171*($K56/$I56))*$L56)*$D56)/($E56/100),2)),"")</f>
        <v/>
      </c>
      <c r="O56" s="73" t="str">
        <f>VLOOKUP(B56,'Annexe liste a câble'!B:J,9,FALSE)</f>
        <v/>
      </c>
      <c r="S56" s="1"/>
    </row>
    <row r="57" spans="1:19" x14ac:dyDescent="0.25">
      <c r="A57" s="5" t="s">
        <v>184</v>
      </c>
      <c r="B57" s="5" t="s">
        <v>30</v>
      </c>
      <c r="C57" s="89">
        <v>2202</v>
      </c>
      <c r="D57" s="5"/>
      <c r="E57" s="5"/>
      <c r="F57" s="5"/>
      <c r="G57" s="74"/>
      <c r="H57" s="76"/>
      <c r="I57" s="75"/>
      <c r="J57" s="5"/>
      <c r="K57" s="5"/>
      <c r="L57" s="73"/>
      <c r="M57" s="5" t="str">
        <f t="shared" si="1"/>
        <v/>
      </c>
      <c r="N57" s="5" t="str">
        <f>IF($I57&lt;&gt;"",'Annexe liste a câble'!C57+(ROUND((SQRT(3)*((0.0171*($K57/$I57))*$L57)*$D57)/($E57/100),2)),"")</f>
        <v/>
      </c>
      <c r="O57" s="73" t="str">
        <f>VLOOKUP(B57,'Annexe liste a câble'!B:J,9,FALSE)</f>
        <v/>
      </c>
      <c r="S57" s="1"/>
    </row>
    <row r="58" spans="1:19" x14ac:dyDescent="0.25">
      <c r="A58" s="5" t="s">
        <v>184</v>
      </c>
      <c r="B58" s="5" t="s">
        <v>29</v>
      </c>
      <c r="C58" s="89">
        <v>2203</v>
      </c>
      <c r="D58" s="5">
        <v>32</v>
      </c>
      <c r="E58" s="5">
        <v>400</v>
      </c>
      <c r="F58" s="5" t="s">
        <v>357</v>
      </c>
      <c r="G58" s="74">
        <v>4</v>
      </c>
      <c r="H58" s="76" t="s">
        <v>251</v>
      </c>
      <c r="I58" s="75">
        <v>10</v>
      </c>
      <c r="J58" s="5"/>
      <c r="K58" s="5">
        <v>45</v>
      </c>
      <c r="L58" s="73">
        <v>0.9</v>
      </c>
      <c r="M58" s="5">
        <f t="shared" si="1"/>
        <v>0.96</v>
      </c>
      <c r="N58" s="5">
        <f>IF($I58&lt;&gt;"",'Annexe liste a câble'!C58+(ROUND((SQRT(3)*((0.0171*($K58/$I58))*$L58)*$D58)/($E58/100),2)),"")</f>
        <v>2.2199999999999998</v>
      </c>
      <c r="O58" s="73">
        <f>VLOOKUP(B58,'Annexe liste a câble'!B:J,9,FALSE)</f>
        <v>1.6344188733375833</v>
      </c>
      <c r="S58" s="1"/>
    </row>
    <row r="59" spans="1:19" x14ac:dyDescent="0.25">
      <c r="A59" s="5" t="s">
        <v>184</v>
      </c>
      <c r="B59" s="5" t="s">
        <v>38</v>
      </c>
      <c r="C59" s="89">
        <v>2204</v>
      </c>
      <c r="D59" s="5"/>
      <c r="E59" s="5"/>
      <c r="F59" s="5"/>
      <c r="G59" s="74"/>
      <c r="H59" s="76"/>
      <c r="I59" s="75"/>
      <c r="J59" s="5"/>
      <c r="K59" s="5"/>
      <c r="L59" s="73"/>
      <c r="M59" s="5" t="str">
        <f t="shared" si="1"/>
        <v/>
      </c>
      <c r="N59" s="5" t="str">
        <f>IF($I59&lt;&gt;"",'Annexe liste a câble'!C59+(ROUND((SQRT(3)*((0.0171*($K59/$I59))*$L59)*$D59)/($E59/100),2)),"")</f>
        <v/>
      </c>
      <c r="O59" s="73" t="str">
        <f>VLOOKUP(B59,'Annexe liste a câble'!B:J,9,FALSE)</f>
        <v/>
      </c>
      <c r="S59" s="1"/>
    </row>
    <row r="60" spans="1:19" x14ac:dyDescent="0.25">
      <c r="A60" s="5" t="s">
        <v>184</v>
      </c>
      <c r="B60" s="5" t="s">
        <v>25</v>
      </c>
      <c r="C60" s="89" t="s">
        <v>286</v>
      </c>
      <c r="D60" s="5"/>
      <c r="E60" s="5"/>
      <c r="F60" s="5"/>
      <c r="G60" s="74"/>
      <c r="H60" s="76"/>
      <c r="I60" s="75"/>
      <c r="J60" s="5"/>
      <c r="K60" s="5"/>
      <c r="L60" s="73"/>
      <c r="M60" s="5" t="str">
        <f t="shared" si="1"/>
        <v/>
      </c>
      <c r="N60" s="5" t="str">
        <f>IF($I60&lt;&gt;"",'Annexe liste a câble'!C60+(ROUND((SQRT(3)*((0.0171*($K60/$I60))*$L60)*$D60)/($E60/100),2)),"")</f>
        <v/>
      </c>
      <c r="O60" s="73" t="str">
        <f>VLOOKUP(B60,'Annexe liste a câble'!B:J,9,FALSE)</f>
        <v/>
      </c>
      <c r="S60" s="1"/>
    </row>
    <row r="61" spans="1:19" x14ac:dyDescent="0.25">
      <c r="A61" s="5" t="s">
        <v>184</v>
      </c>
      <c r="B61" s="5" t="s">
        <v>26</v>
      </c>
      <c r="C61" s="89" t="s">
        <v>288</v>
      </c>
      <c r="D61" s="5"/>
      <c r="E61" s="5"/>
      <c r="F61" s="5"/>
      <c r="G61" s="74"/>
      <c r="H61" s="76"/>
      <c r="I61" s="75"/>
      <c r="J61" s="5"/>
      <c r="K61" s="5"/>
      <c r="L61" s="73"/>
      <c r="M61" s="5" t="str">
        <f t="shared" si="1"/>
        <v/>
      </c>
      <c r="N61" s="5" t="str">
        <f>IF($I61&lt;&gt;"",'Annexe liste a câble'!C61+(ROUND((SQRT(3)*((0.0171*($K61/$I61))*$L61)*$D61)/($E61/100),2)),"")</f>
        <v/>
      </c>
      <c r="O61" s="73" t="str">
        <f>VLOOKUP(B61,'Annexe liste a câble'!B:J,9,FALSE)</f>
        <v/>
      </c>
      <c r="S61" s="1"/>
    </row>
    <row r="62" spans="1:19" x14ac:dyDescent="0.25">
      <c r="A62" s="5" t="s">
        <v>184</v>
      </c>
      <c r="B62" s="5" t="s">
        <v>28</v>
      </c>
      <c r="C62" s="89" t="s">
        <v>289</v>
      </c>
      <c r="D62" s="5">
        <v>32</v>
      </c>
      <c r="E62" s="5">
        <v>400</v>
      </c>
      <c r="F62" s="5" t="s">
        <v>357</v>
      </c>
      <c r="G62" s="74">
        <v>4</v>
      </c>
      <c r="H62" s="76" t="s">
        <v>251</v>
      </c>
      <c r="I62" s="75">
        <v>10</v>
      </c>
      <c r="J62" s="5"/>
      <c r="K62" s="5">
        <v>30</v>
      </c>
      <c r="L62" s="73">
        <v>0.9</v>
      </c>
      <c r="M62" s="5">
        <f t="shared" si="1"/>
        <v>0.64</v>
      </c>
      <c r="N62" s="5">
        <f>IF($I62&lt;&gt;"",'Annexe liste a câble'!C62+(ROUND((SQRT(3)*((0.0171*($K62/$I62))*$L62)*$D62)/($E62/100),2)),"")</f>
        <v>1.9</v>
      </c>
      <c r="O62" s="73">
        <f>VLOOKUP(B62,'Annexe liste a câble'!B:J,9,FALSE)</f>
        <v>2.0281844207806734</v>
      </c>
      <c r="S62" s="1"/>
    </row>
    <row r="63" spans="1:19" x14ac:dyDescent="0.25">
      <c r="A63" s="5" t="s">
        <v>184</v>
      </c>
      <c r="B63" s="5" t="s">
        <v>27</v>
      </c>
      <c r="C63" s="89" t="s">
        <v>290</v>
      </c>
      <c r="D63" s="5"/>
      <c r="E63" s="5"/>
      <c r="F63" s="5"/>
      <c r="G63" s="74"/>
      <c r="H63" s="76"/>
      <c r="I63" s="75"/>
      <c r="J63" s="5"/>
      <c r="K63" s="5"/>
      <c r="L63" s="73"/>
      <c r="M63" s="5" t="str">
        <f t="shared" si="1"/>
        <v/>
      </c>
      <c r="N63" s="5" t="str">
        <f>IF($I63&lt;&gt;"",'Annexe liste a câble'!C63+(ROUND((SQRT(3)*((0.0171*($K63/$I63))*$L63)*$D63)/($E63/100),2)),"")</f>
        <v/>
      </c>
      <c r="O63" s="73" t="str">
        <f>VLOOKUP(B63,'Annexe liste a câble'!B:J,9,FALSE)</f>
        <v/>
      </c>
      <c r="S63" s="1"/>
    </row>
    <row r="64" spans="1:19" x14ac:dyDescent="0.25">
      <c r="A64" s="5" t="s">
        <v>184</v>
      </c>
      <c r="B64" s="5" t="s">
        <v>35</v>
      </c>
      <c r="C64" s="89" t="s">
        <v>312</v>
      </c>
      <c r="D64" s="5"/>
      <c r="E64" s="5"/>
      <c r="F64" s="5"/>
      <c r="G64" s="74"/>
      <c r="H64" s="76"/>
      <c r="I64" s="75"/>
      <c r="J64" s="5"/>
      <c r="K64" s="5"/>
      <c r="L64" s="73"/>
      <c r="M64" s="5" t="str">
        <f t="shared" si="1"/>
        <v/>
      </c>
      <c r="N64" s="5" t="str">
        <f>IF($I64&lt;&gt;"",'Annexe liste a câble'!C64+(ROUND((SQRT(3)*((0.0171*($K64/$I64))*$L64)*$D64)/($E64/100),2)),"")</f>
        <v/>
      </c>
      <c r="O64" s="73" t="str">
        <f>VLOOKUP(B64,'Annexe liste a câble'!B:J,9,FALSE)</f>
        <v/>
      </c>
      <c r="S64" s="1"/>
    </row>
    <row r="65" spans="1:19" x14ac:dyDescent="0.25">
      <c r="A65" s="5" t="s">
        <v>184</v>
      </c>
      <c r="B65" s="5" t="s">
        <v>169</v>
      </c>
      <c r="C65" s="89" t="s">
        <v>313</v>
      </c>
      <c r="D65" s="5"/>
      <c r="E65" s="5"/>
      <c r="F65" s="5"/>
      <c r="G65" s="74"/>
      <c r="H65" s="76"/>
      <c r="I65" s="75"/>
      <c r="J65" s="5"/>
      <c r="K65" s="5"/>
      <c r="L65" s="73"/>
      <c r="M65" s="5" t="str">
        <f t="shared" si="1"/>
        <v/>
      </c>
      <c r="N65" s="5" t="str">
        <f>IF($I65&lt;&gt;"",'Annexe liste a câble'!C65+(ROUND((SQRT(3)*((0.0171*($K65/$I65))*$L65)*$D65)/($E65/100),2)),"")</f>
        <v/>
      </c>
      <c r="O65" s="73" t="str">
        <f>VLOOKUP(B65,'Annexe liste a câble'!B:J,9,FALSE)</f>
        <v/>
      </c>
      <c r="S65" s="1"/>
    </row>
    <row r="66" spans="1:19" x14ac:dyDescent="0.25">
      <c r="A66" s="5" t="s">
        <v>184</v>
      </c>
      <c r="B66" s="5" t="s">
        <v>37</v>
      </c>
      <c r="C66" s="89" t="s">
        <v>314</v>
      </c>
      <c r="D66" s="5"/>
      <c r="E66" s="5"/>
      <c r="F66" s="5"/>
      <c r="G66" s="74"/>
      <c r="H66" s="76"/>
      <c r="I66" s="75"/>
      <c r="J66" s="5"/>
      <c r="K66" s="5"/>
      <c r="L66" s="73"/>
      <c r="M66" s="5" t="str">
        <f t="shared" si="1"/>
        <v/>
      </c>
      <c r="N66" s="5" t="str">
        <f>IF($I66&lt;&gt;"",'Annexe liste a câble'!C66+(ROUND((SQRT(3)*((0.0171*($K66/$I66))*$L66)*$D66)/($E66/100),2)),"")</f>
        <v/>
      </c>
      <c r="O66" s="73" t="str">
        <f>VLOOKUP(B66,'Annexe liste a câble'!B:J,9,FALSE)</f>
        <v/>
      </c>
      <c r="S66" s="1"/>
    </row>
    <row r="67" spans="1:19" x14ac:dyDescent="0.25">
      <c r="A67" s="5" t="s">
        <v>129</v>
      </c>
      <c r="B67" s="5" t="s">
        <v>19</v>
      </c>
      <c r="C67" s="89" t="s">
        <v>294</v>
      </c>
      <c r="D67" s="5">
        <v>32</v>
      </c>
      <c r="E67" s="5">
        <v>400</v>
      </c>
      <c r="F67" s="5" t="s">
        <v>364</v>
      </c>
      <c r="G67" s="74">
        <v>4</v>
      </c>
      <c r="H67" s="76" t="s">
        <v>251</v>
      </c>
      <c r="I67" s="75">
        <v>10</v>
      </c>
      <c r="J67" s="5"/>
      <c r="K67" s="5">
        <v>10</v>
      </c>
      <c r="L67" s="73">
        <v>0.9</v>
      </c>
      <c r="M67" s="5">
        <f t="shared" si="1"/>
        <v>0.21</v>
      </c>
      <c r="N67" s="5">
        <f>IF($I67&lt;&gt;"",'Annexe liste a câble'!C67+(ROUND((SQRT(3)*((0.0171*($K67/$I67))*$L67)*$D67)/($E67/100),2)),"")</f>
        <v>1.1400000000000001</v>
      </c>
      <c r="O67" s="73">
        <f>VLOOKUP(B67,'Annexe liste a câble'!B:J,9,FALSE)</f>
        <v>5.1620490975052906</v>
      </c>
      <c r="S67" s="1"/>
    </row>
    <row r="68" spans="1:19" x14ac:dyDescent="0.25">
      <c r="A68" s="5" t="s">
        <v>129</v>
      </c>
      <c r="B68" s="5" t="s">
        <v>21</v>
      </c>
      <c r="C68" s="89" t="s">
        <v>295</v>
      </c>
      <c r="D68" s="5">
        <v>32</v>
      </c>
      <c r="E68" s="5">
        <v>400</v>
      </c>
      <c r="F68" s="5" t="s">
        <v>364</v>
      </c>
      <c r="G68" s="74">
        <v>4</v>
      </c>
      <c r="H68" s="76" t="s">
        <v>251</v>
      </c>
      <c r="I68" s="75">
        <v>10</v>
      </c>
      <c r="J68" s="5"/>
      <c r="K68" s="5">
        <v>10</v>
      </c>
      <c r="L68" s="73">
        <v>0.9</v>
      </c>
      <c r="M68" s="5">
        <f t="shared" si="1"/>
        <v>0.21</v>
      </c>
      <c r="N68" s="5">
        <f>IF($I68&lt;&gt;"",'Annexe liste a câble'!C68+(ROUND((SQRT(3)*((0.0171*($K68/$I68))*$L68)*$D68)/($E68/100),2)),"")</f>
        <v>1.1400000000000001</v>
      </c>
      <c r="O68" s="73">
        <f>VLOOKUP(B68,'Annexe liste a câble'!B:J,9,FALSE)</f>
        <v>5.1620490975052906</v>
      </c>
      <c r="S68" s="1"/>
    </row>
    <row r="69" spans="1:19" x14ac:dyDescent="0.25">
      <c r="A69" s="5" t="s">
        <v>129</v>
      </c>
      <c r="B69" s="5" t="s">
        <v>22</v>
      </c>
      <c r="C69" s="89" t="s">
        <v>296</v>
      </c>
      <c r="D69" s="5">
        <v>32</v>
      </c>
      <c r="E69" s="5">
        <v>400</v>
      </c>
      <c r="F69" s="5" t="s">
        <v>364</v>
      </c>
      <c r="G69" s="74">
        <v>4</v>
      </c>
      <c r="H69" s="76" t="s">
        <v>251</v>
      </c>
      <c r="I69" s="75">
        <v>10</v>
      </c>
      <c r="J69" s="5"/>
      <c r="K69" s="5">
        <v>10</v>
      </c>
      <c r="L69" s="73">
        <v>0.9</v>
      </c>
      <c r="M69" s="5">
        <f t="shared" si="1"/>
        <v>0.21</v>
      </c>
      <c r="N69" s="5">
        <f>IF($I69&lt;&gt;"",'Annexe liste a câble'!C69+(ROUND((SQRT(3)*((0.0171*($K69/$I69))*$L69)*$D69)/($E69/100),2)),"")</f>
        <v>1.1400000000000001</v>
      </c>
      <c r="O69" s="73">
        <f>VLOOKUP(B69,'Annexe liste a câble'!B:J,9,FALSE)</f>
        <v>5.1620490975052906</v>
      </c>
      <c r="S69" s="1"/>
    </row>
    <row r="70" spans="1:19" x14ac:dyDescent="0.25">
      <c r="A70" s="5" t="s">
        <v>129</v>
      </c>
      <c r="B70" s="5" t="s">
        <v>160</v>
      </c>
      <c r="C70" s="89" t="s">
        <v>297</v>
      </c>
      <c r="D70" s="5"/>
      <c r="E70" s="5"/>
      <c r="F70" s="5"/>
      <c r="G70" s="74"/>
      <c r="H70" s="76"/>
      <c r="I70" s="75"/>
      <c r="J70" s="5"/>
      <c r="K70" s="5"/>
      <c r="L70" s="73"/>
      <c r="M70" s="5" t="str">
        <f t="shared" si="1"/>
        <v/>
      </c>
      <c r="N70" s="5" t="str">
        <f>IF($I70&lt;&gt;"",'Annexe liste a câble'!C70+(ROUND((SQRT(3)*((0.0171*($K70/$I70))*$L70)*$D70)/($E70/100),2)),"")</f>
        <v/>
      </c>
      <c r="O70" s="73" t="str">
        <f>VLOOKUP(B70,'Annexe liste a câble'!B:J,9,FALSE)</f>
        <v/>
      </c>
      <c r="S70" s="1"/>
    </row>
    <row r="71" spans="1:19" x14ac:dyDescent="0.25">
      <c r="A71" s="5" t="s">
        <v>129</v>
      </c>
      <c r="B71" s="5" t="s">
        <v>141</v>
      </c>
      <c r="C71" s="89" t="s">
        <v>298</v>
      </c>
      <c r="D71" s="5">
        <v>32</v>
      </c>
      <c r="E71" s="5">
        <v>400</v>
      </c>
      <c r="F71" s="5" t="s">
        <v>364</v>
      </c>
      <c r="G71" s="74">
        <v>4</v>
      </c>
      <c r="H71" s="76" t="s">
        <v>251</v>
      </c>
      <c r="I71" s="75">
        <v>10</v>
      </c>
      <c r="J71" s="5"/>
      <c r="K71" s="5">
        <v>2</v>
      </c>
      <c r="L71" s="73">
        <v>0.9</v>
      </c>
      <c r="M71" s="5">
        <f t="shared" ref="M71:M89" si="3">IF($I71&lt;&gt;"",(ROUND((SQRT(3)*((0.0171*($K71/$I71))*$L71)*$D71)/(E71/100),2)),"")</f>
        <v>0.04</v>
      </c>
      <c r="N71" s="5">
        <f>IF($I71&lt;&gt;"",'Annexe liste a câble'!C71+(ROUND((SQRT(3)*((0.0171*($K71/$I71))*$L71)*$D71)/($E71/100),2)),"")</f>
        <v>0.97000000000000008</v>
      </c>
      <c r="O71" s="73">
        <f>VLOOKUP(B71,'Annexe liste a câble'!B:J,9,FALSE)</f>
        <v>6.9865078555748941</v>
      </c>
      <c r="S71" s="1"/>
    </row>
    <row r="72" spans="1:19" x14ac:dyDescent="0.25">
      <c r="A72" s="5" t="s">
        <v>185</v>
      </c>
      <c r="B72" s="5" t="s">
        <v>44</v>
      </c>
      <c r="C72" s="89" t="s">
        <v>275</v>
      </c>
      <c r="D72" s="5"/>
      <c r="E72" s="5"/>
      <c r="F72" s="5"/>
      <c r="G72" s="74"/>
      <c r="H72" s="76"/>
      <c r="I72" s="75"/>
      <c r="J72" s="5"/>
      <c r="K72" s="5"/>
      <c r="L72" s="73"/>
      <c r="M72" s="5" t="str">
        <f t="shared" si="3"/>
        <v/>
      </c>
      <c r="N72" s="5" t="str">
        <f>IF($I72&lt;&gt;"",'Annexe liste a câble'!C72+(ROUND((SQRT(3)*((0.0171*($K72/$I72))*$L72)*$D72)/($E72/100),2)),"")</f>
        <v/>
      </c>
      <c r="O72" s="73" t="str">
        <f>VLOOKUP(B72,'Annexe liste a câble'!B:J,9,FALSE)</f>
        <v/>
      </c>
      <c r="S72" s="1"/>
    </row>
    <row r="73" spans="1:19" x14ac:dyDescent="0.25">
      <c r="A73" s="5" t="s">
        <v>185</v>
      </c>
      <c r="B73" s="5" t="s">
        <v>43</v>
      </c>
      <c r="C73" s="89" t="s">
        <v>277</v>
      </c>
      <c r="D73" s="5"/>
      <c r="E73" s="5"/>
      <c r="F73" s="5"/>
      <c r="G73" s="74"/>
      <c r="H73" s="76"/>
      <c r="I73" s="75"/>
      <c r="J73" s="5"/>
      <c r="K73" s="5"/>
      <c r="L73" s="73"/>
      <c r="M73" s="5" t="str">
        <f t="shared" si="3"/>
        <v/>
      </c>
      <c r="N73" s="5" t="str">
        <f>IF($I73&lt;&gt;"",'Annexe liste a câble'!C73+(ROUND((SQRT(3)*((0.0171*($K73/$I73))*$L73)*$D73)/($E73/100),2)),"")</f>
        <v/>
      </c>
      <c r="O73" s="73" t="str">
        <f>VLOOKUP(B73,'Annexe liste a câble'!B:J,9,FALSE)</f>
        <v/>
      </c>
      <c r="S73" s="1"/>
    </row>
    <row r="74" spans="1:19" x14ac:dyDescent="0.25">
      <c r="A74" s="5" t="s">
        <v>185</v>
      </c>
      <c r="B74" s="5" t="s">
        <v>46</v>
      </c>
      <c r="C74" s="89" t="s">
        <v>278</v>
      </c>
      <c r="D74" s="5"/>
      <c r="E74" s="5"/>
      <c r="F74" s="5"/>
      <c r="G74" s="74"/>
      <c r="H74" s="76"/>
      <c r="I74" s="75"/>
      <c r="J74" s="5"/>
      <c r="K74" s="5"/>
      <c r="L74" s="73"/>
      <c r="M74" s="5" t="str">
        <f t="shared" si="3"/>
        <v/>
      </c>
      <c r="N74" s="5" t="str">
        <f>IF($I74&lt;&gt;"",'Annexe liste a câble'!C74+(ROUND((SQRT(3)*((0.0171*($K74/$I74))*$L74)*$D74)/($E74/100),2)),"")</f>
        <v/>
      </c>
      <c r="O74" s="73" t="str">
        <f>VLOOKUP(B74,'Annexe liste a câble'!B:J,9,FALSE)</f>
        <v/>
      </c>
      <c r="S74" s="1"/>
    </row>
    <row r="75" spans="1:19" x14ac:dyDescent="0.25">
      <c r="A75" s="5" t="s">
        <v>113</v>
      </c>
      <c r="B75" s="5" t="s">
        <v>56</v>
      </c>
      <c r="C75" s="89" t="s">
        <v>292</v>
      </c>
      <c r="D75" s="5"/>
      <c r="E75" s="5"/>
      <c r="F75" s="5"/>
      <c r="G75" s="74"/>
      <c r="H75" s="76"/>
      <c r="I75" s="75"/>
      <c r="J75" s="5"/>
      <c r="K75" s="5"/>
      <c r="L75" s="73"/>
      <c r="M75" s="5" t="str">
        <f t="shared" si="3"/>
        <v/>
      </c>
      <c r="N75" s="5" t="str">
        <f>IF($I75&lt;&gt;"",'Annexe liste a câble'!C75+(ROUND((SQRT(3)*((0.0171*($K75/$I75))*$L75)*$D75)/($E75/100),2)),"")</f>
        <v/>
      </c>
      <c r="O75" s="73" t="str">
        <f>VLOOKUP(B75,'Annexe liste a câble'!B:J,9,FALSE)</f>
        <v/>
      </c>
      <c r="S75" s="1"/>
    </row>
    <row r="76" spans="1:19" x14ac:dyDescent="0.25">
      <c r="A76" s="5" t="s">
        <v>113</v>
      </c>
      <c r="B76" s="5" t="s">
        <v>57</v>
      </c>
      <c r="C76" s="89" t="s">
        <v>293</v>
      </c>
      <c r="D76" s="5"/>
      <c r="E76" s="5"/>
      <c r="F76" s="5"/>
      <c r="G76" s="74"/>
      <c r="H76" s="76"/>
      <c r="I76" s="75"/>
      <c r="J76" s="5"/>
      <c r="K76" s="5"/>
      <c r="L76" s="73"/>
      <c r="M76" s="5" t="str">
        <f t="shared" si="3"/>
        <v/>
      </c>
      <c r="N76" s="5" t="str">
        <f>IF($I76&lt;&gt;"",'Annexe liste a câble'!C76+(ROUND((SQRT(3)*((0.0171*($K76/$I76))*$L76)*$D76)/($E76/100),2)),"")</f>
        <v/>
      </c>
      <c r="O76" s="73" t="str">
        <f>VLOOKUP(B76,'Annexe liste a câble'!B:J,9,FALSE)</f>
        <v/>
      </c>
      <c r="S76" s="1"/>
    </row>
    <row r="77" spans="1:19" x14ac:dyDescent="0.25">
      <c r="A77" s="5" t="s">
        <v>137</v>
      </c>
      <c r="B77" s="5" t="s">
        <v>39</v>
      </c>
      <c r="C77" s="89" t="s">
        <v>299</v>
      </c>
      <c r="D77" s="5">
        <v>32</v>
      </c>
      <c r="E77" s="5">
        <v>400</v>
      </c>
      <c r="F77" s="5" t="s">
        <v>357</v>
      </c>
      <c r="G77" s="74">
        <v>4</v>
      </c>
      <c r="H77" s="76" t="s">
        <v>251</v>
      </c>
      <c r="I77" s="75">
        <v>10</v>
      </c>
      <c r="J77" s="5"/>
      <c r="K77" s="5">
        <v>25</v>
      </c>
      <c r="L77" s="73">
        <v>0.9</v>
      </c>
      <c r="M77" s="5">
        <f t="shared" si="3"/>
        <v>0.53</v>
      </c>
      <c r="N77" s="5">
        <f>IF($I77&lt;&gt;"",'Annexe liste a câble'!C77+(ROUND((SQRT(3)*((0.0171*($K77/$I77))*$L77)*$D77)/($E77/100),2)),"")</f>
        <v>1.8800000000000001</v>
      </c>
      <c r="O77" s="73">
        <f>VLOOKUP(B77,'Annexe liste a câble'!B:J,9,FALSE)</f>
        <v>2.7828098045306344</v>
      </c>
      <c r="S77" s="1"/>
    </row>
    <row r="78" spans="1:19" x14ac:dyDescent="0.25">
      <c r="A78" s="5" t="s">
        <v>137</v>
      </c>
      <c r="B78" s="5" t="s">
        <v>138</v>
      </c>
      <c r="C78" s="89" t="s">
        <v>300</v>
      </c>
      <c r="D78" s="5">
        <v>32</v>
      </c>
      <c r="E78" s="5">
        <v>400</v>
      </c>
      <c r="F78" s="5" t="s">
        <v>357</v>
      </c>
      <c r="G78" s="74">
        <v>4</v>
      </c>
      <c r="H78" s="76" t="s">
        <v>251</v>
      </c>
      <c r="I78" s="75">
        <v>10</v>
      </c>
      <c r="J78" s="5"/>
      <c r="K78" s="5">
        <v>10</v>
      </c>
      <c r="L78" s="73">
        <v>0.9</v>
      </c>
      <c r="M78" s="5">
        <f t="shared" si="3"/>
        <v>0.21</v>
      </c>
      <c r="N78" s="5">
        <f>IF($I78&lt;&gt;"",'Annexe liste a câble'!C78+(ROUND((SQRT(3)*((0.0171*($K78/$I78))*$L78)*$D78)/($E78/100),2)),"")</f>
        <v>1.56</v>
      </c>
      <c r="O78" s="73">
        <f>VLOOKUP(B78,'Annexe liste a câble'!B:J,9,FALSE)</f>
        <v>4.0449284560361445</v>
      </c>
      <c r="S78" s="1"/>
    </row>
    <row r="79" spans="1:19" x14ac:dyDescent="0.25">
      <c r="A79" s="5" t="s">
        <v>137</v>
      </c>
      <c r="B79" s="5" t="s">
        <v>17</v>
      </c>
      <c r="C79" s="89" t="s">
        <v>301</v>
      </c>
      <c r="D79" s="5">
        <v>32</v>
      </c>
      <c r="E79" s="5">
        <v>400</v>
      </c>
      <c r="F79" s="5" t="s">
        <v>357</v>
      </c>
      <c r="G79" s="74">
        <v>4</v>
      </c>
      <c r="H79" s="76" t="s">
        <v>251</v>
      </c>
      <c r="I79" s="75">
        <v>10</v>
      </c>
      <c r="J79" s="5"/>
      <c r="K79" s="5">
        <v>30</v>
      </c>
      <c r="L79" s="73">
        <v>0.9</v>
      </c>
      <c r="M79" s="5">
        <f t="shared" si="3"/>
        <v>0.64</v>
      </c>
      <c r="N79" s="5">
        <f>IF($I79&lt;&gt;"",'Annexe liste a câble'!C79+(ROUND((SQRT(3)*((0.0171*($K79/$I79))*$L79)*$D79)/($E79/100),2)),"")</f>
        <v>1.9900000000000002</v>
      </c>
      <c r="O79" s="73">
        <f>VLOOKUP(B79,'Annexe liste a câble'!B:J,9,FALSE)</f>
        <v>2.5138751140849602</v>
      </c>
      <c r="S79" s="1"/>
    </row>
    <row r="80" spans="1:19" x14ac:dyDescent="0.25">
      <c r="A80" s="5" t="s">
        <v>137</v>
      </c>
      <c r="B80" s="5" t="s">
        <v>142</v>
      </c>
      <c r="C80" s="89" t="s">
        <v>302</v>
      </c>
      <c r="D80" s="5">
        <v>32</v>
      </c>
      <c r="E80" s="5">
        <v>400</v>
      </c>
      <c r="F80" s="5" t="s">
        <v>357</v>
      </c>
      <c r="G80" s="74">
        <v>4</v>
      </c>
      <c r="H80" s="76" t="s">
        <v>251</v>
      </c>
      <c r="I80" s="75">
        <v>10</v>
      </c>
      <c r="J80" s="5"/>
      <c r="K80" s="5">
        <v>20</v>
      </c>
      <c r="L80" s="73">
        <v>0.9</v>
      </c>
      <c r="M80" s="5">
        <f t="shared" si="3"/>
        <v>0.43</v>
      </c>
      <c r="N80" s="5">
        <f>IF($I80&lt;&gt;"",'Annexe liste a câble'!C80+(ROUND((SQRT(3)*((0.0171*($K80/$I80))*$L80)*$D80)/($E80/100),2)),"")</f>
        <v>1.78</v>
      </c>
      <c r="O80" s="73">
        <f>VLOOKUP(B80,'Annexe liste a câble'!B:J,9,FALSE)</f>
        <v>3.1122179826876875</v>
      </c>
      <c r="S80" s="1"/>
    </row>
    <row r="81" spans="1:19" x14ac:dyDescent="0.25">
      <c r="A81" s="5" t="s">
        <v>137</v>
      </c>
      <c r="B81" s="5" t="s">
        <v>20</v>
      </c>
      <c r="C81" s="89" t="s">
        <v>303</v>
      </c>
      <c r="D81" s="5">
        <v>32</v>
      </c>
      <c r="E81" s="5">
        <v>400</v>
      </c>
      <c r="F81" s="5" t="s">
        <v>357</v>
      </c>
      <c r="G81" s="74">
        <v>4</v>
      </c>
      <c r="H81" s="76" t="s">
        <v>251</v>
      </c>
      <c r="I81" s="75">
        <v>10</v>
      </c>
      <c r="J81" s="5"/>
      <c r="K81" s="5">
        <v>30</v>
      </c>
      <c r="L81" s="73">
        <v>0.9</v>
      </c>
      <c r="M81" s="5">
        <f t="shared" si="3"/>
        <v>0.64</v>
      </c>
      <c r="N81" s="5">
        <f>IF($I81&lt;&gt;"",'Annexe liste a câble'!C81+(ROUND((SQRT(3)*((0.0171*($K81/$I81))*$L81)*$D81)/($E81/100),2)),"")</f>
        <v>1.9900000000000002</v>
      </c>
      <c r="O81" s="73">
        <f>VLOOKUP(B81,'Annexe liste a câble'!B:J,9,FALSE)</f>
        <v>2.5138751140849602</v>
      </c>
      <c r="S81" s="1"/>
    </row>
    <row r="82" spans="1:19" x14ac:dyDescent="0.25">
      <c r="A82" s="5" t="s">
        <v>137</v>
      </c>
      <c r="B82" s="5" t="s">
        <v>16</v>
      </c>
      <c r="C82" s="89" t="s">
        <v>304</v>
      </c>
      <c r="D82" s="5">
        <v>32</v>
      </c>
      <c r="E82" s="5">
        <v>400</v>
      </c>
      <c r="F82" s="5" t="s">
        <v>357</v>
      </c>
      <c r="G82" s="74">
        <v>4</v>
      </c>
      <c r="H82" s="76" t="s">
        <v>251</v>
      </c>
      <c r="I82" s="75">
        <v>10</v>
      </c>
      <c r="J82" s="5"/>
      <c r="K82" s="5">
        <v>50</v>
      </c>
      <c r="L82" s="73">
        <v>0.9</v>
      </c>
      <c r="M82" s="5">
        <f t="shared" si="3"/>
        <v>1.07</v>
      </c>
      <c r="N82" s="5">
        <f>IF($I82&lt;&gt;"",'Annexe liste a câble'!C82+(ROUND((SQRT(3)*((0.0171*($K82/$I82))*$L82)*$D82)/($E82/100),2)),"")</f>
        <v>2.42</v>
      </c>
      <c r="O82" s="73">
        <f>VLOOKUP(B82,'Annexe liste a câble'!B:J,9,FALSE)</f>
        <v>1.8052569485754482</v>
      </c>
      <c r="S82" s="1"/>
    </row>
    <row r="83" spans="1:19" x14ac:dyDescent="0.25">
      <c r="A83" s="5" t="s">
        <v>137</v>
      </c>
      <c r="B83" s="5" t="s">
        <v>15</v>
      </c>
      <c r="C83" s="89" t="s">
        <v>305</v>
      </c>
      <c r="D83" s="5">
        <v>32</v>
      </c>
      <c r="E83" s="5">
        <v>400</v>
      </c>
      <c r="F83" s="5" t="s">
        <v>357</v>
      </c>
      <c r="G83" s="74">
        <v>4</v>
      </c>
      <c r="H83" s="76" t="s">
        <v>251</v>
      </c>
      <c r="I83" s="75">
        <v>10</v>
      </c>
      <c r="J83" s="5"/>
      <c r="K83" s="5">
        <v>30</v>
      </c>
      <c r="L83" s="73">
        <v>0.9</v>
      </c>
      <c r="M83" s="5">
        <f t="shared" si="3"/>
        <v>0.64</v>
      </c>
      <c r="N83" s="5">
        <f>IF($I83&lt;&gt;"",'Annexe liste a câble'!C83+(ROUND((SQRT(3)*((0.0171*($K83/$I83))*$L83)*$D83)/($E83/100),2)),"")</f>
        <v>1.9900000000000002</v>
      </c>
      <c r="O83" s="73">
        <f>VLOOKUP(B83,'Annexe liste a câble'!B:J,9,FALSE)</f>
        <v>2.5138751140849602</v>
      </c>
      <c r="S83" s="1"/>
    </row>
    <row r="84" spans="1:19" x14ac:dyDescent="0.25">
      <c r="A84" s="5" t="s">
        <v>222</v>
      </c>
      <c r="B84" s="5" t="s">
        <v>335</v>
      </c>
      <c r="C84" s="89" t="s">
        <v>276</v>
      </c>
      <c r="D84" s="5"/>
      <c r="E84" s="5"/>
      <c r="F84" s="5"/>
      <c r="G84" s="74"/>
      <c r="H84" s="76"/>
      <c r="I84" s="75"/>
      <c r="J84" s="5"/>
      <c r="K84" s="5"/>
      <c r="L84" s="73"/>
      <c r="M84" s="5" t="str">
        <f t="shared" si="3"/>
        <v/>
      </c>
      <c r="N84" s="5" t="str">
        <f>IF($I84&lt;&gt;"",'Annexe liste a câble'!C84+(ROUND((SQRT(3)*((0.0171*($K84/$I84))*$L84)*$D84)/($E84/100),2)),"")</f>
        <v/>
      </c>
      <c r="O84" s="73" t="str">
        <f>VLOOKUP(B84,'Annexe liste a câble'!B:J,9,FALSE)</f>
        <v/>
      </c>
      <c r="S84" s="1"/>
    </row>
    <row r="85" spans="1:19" x14ac:dyDescent="0.25">
      <c r="A85" s="5" t="s">
        <v>222</v>
      </c>
      <c r="B85" s="5" t="s">
        <v>218</v>
      </c>
      <c r="C85" s="89" t="s">
        <v>279</v>
      </c>
      <c r="D85" s="5">
        <v>32</v>
      </c>
      <c r="E85" s="5">
        <v>400</v>
      </c>
      <c r="F85" s="5" t="s">
        <v>357</v>
      </c>
      <c r="G85" s="74">
        <v>4</v>
      </c>
      <c r="H85" s="76" t="s">
        <v>251</v>
      </c>
      <c r="I85" s="75">
        <v>10</v>
      </c>
      <c r="J85" s="5"/>
      <c r="K85" s="5">
        <v>25</v>
      </c>
      <c r="L85" s="73">
        <v>0.9</v>
      </c>
      <c r="M85" s="5">
        <f t="shared" si="3"/>
        <v>0.53</v>
      </c>
      <c r="N85" s="5">
        <f>IF($I85&lt;&gt;"",'Annexe liste a câble'!C85+(ROUND((SQRT(3)*((0.0171*($K85/$I85))*$L85)*$D85)/($E85/100),2)),"")</f>
        <v>5.6000000000000005</v>
      </c>
      <c r="O85" s="73">
        <f>VLOOKUP(B85,'Annexe liste a câble'!B:J,9,FALSE)</f>
        <v>1.041643422957764</v>
      </c>
      <c r="S85" s="1"/>
    </row>
    <row r="86" spans="1:19" x14ac:dyDescent="0.25">
      <c r="A86" s="5" t="s">
        <v>32</v>
      </c>
      <c r="B86" s="5" t="s">
        <v>33</v>
      </c>
      <c r="C86" s="89" t="s">
        <v>269</v>
      </c>
      <c r="D86" s="5"/>
      <c r="E86" s="5"/>
      <c r="F86" s="5"/>
      <c r="G86" s="74"/>
      <c r="H86" s="76"/>
      <c r="I86" s="75"/>
      <c r="J86" s="5"/>
      <c r="K86" s="5"/>
      <c r="L86" s="73"/>
      <c r="M86" s="5" t="str">
        <f t="shared" si="3"/>
        <v/>
      </c>
      <c r="N86" s="5" t="str">
        <f>IF($I86&lt;&gt;"",'Annexe liste a câble'!C86+(ROUND((SQRT(3)*((0.0171*($K86/$I86))*$L86)*$D86)/($E86/100),2)),"")</f>
        <v/>
      </c>
      <c r="O86" s="73" t="str">
        <f>VLOOKUP(B86,'Annexe liste a câble'!B:J,9,FALSE)</f>
        <v/>
      </c>
      <c r="S86" s="1"/>
    </row>
    <row r="87" spans="1:19" x14ac:dyDescent="0.25">
      <c r="A87" s="5" t="s">
        <v>25</v>
      </c>
      <c r="B87" s="5" t="s">
        <v>24</v>
      </c>
      <c r="C87" s="89" t="s">
        <v>287</v>
      </c>
      <c r="D87" s="5"/>
      <c r="E87" s="5"/>
      <c r="F87" s="5"/>
      <c r="G87" s="74"/>
      <c r="H87" s="76"/>
      <c r="I87" s="75"/>
      <c r="J87" s="5"/>
      <c r="K87" s="5"/>
      <c r="L87" s="73"/>
      <c r="M87" s="5" t="str">
        <f t="shared" si="3"/>
        <v/>
      </c>
      <c r="N87" s="5" t="str">
        <f>IF($I87&lt;&gt;"",'Annexe liste a câble'!C87+(ROUND((SQRT(3)*((0.0171*($K87/$I87))*$L87)*$D87)/($E87/100),2)),"")</f>
        <v/>
      </c>
      <c r="O87" s="73" t="str">
        <f>VLOOKUP(B87,'Annexe liste a câble'!B:J,9,FALSE)</f>
        <v/>
      </c>
      <c r="S87" s="1"/>
    </row>
    <row r="88" spans="1:19" x14ac:dyDescent="0.25">
      <c r="A88" s="5" t="s">
        <v>138</v>
      </c>
      <c r="B88" s="5" t="s">
        <v>164</v>
      </c>
      <c r="C88" s="89" t="s">
        <v>336</v>
      </c>
      <c r="D88" s="5">
        <v>16</v>
      </c>
      <c r="E88" s="5">
        <v>230</v>
      </c>
      <c r="F88" s="5" t="s">
        <v>364</v>
      </c>
      <c r="G88" s="74">
        <v>3</v>
      </c>
      <c r="H88" s="76" t="s">
        <v>366</v>
      </c>
      <c r="I88" s="75">
        <v>2.5</v>
      </c>
      <c r="J88" s="5"/>
      <c r="K88" s="5">
        <v>10</v>
      </c>
      <c r="L88" s="73">
        <v>1</v>
      </c>
      <c r="M88" s="5">
        <f t="shared" si="3"/>
        <v>0.82</v>
      </c>
      <c r="N88" s="5">
        <f>IF($I88&lt;&gt;"",'Annexe liste a câble'!C88+(ROUND((SQRT(3)*((0.0171*($K88/$I88))*$L88)*$D88)/($E88/100),2)),"")</f>
        <v>2.38</v>
      </c>
      <c r="O88" s="73">
        <f>VLOOKUP(B88,'Annexe liste a câble'!B:J,9,FALSE)</f>
        <v>1.042484254268395</v>
      </c>
      <c r="S88" s="1"/>
    </row>
    <row r="89" spans="1:19" x14ac:dyDescent="0.25">
      <c r="A89" s="5" t="s">
        <v>138</v>
      </c>
      <c r="B89" s="5" t="s">
        <v>165</v>
      </c>
      <c r="C89" s="89" t="s">
        <v>337</v>
      </c>
      <c r="D89" s="5">
        <v>16</v>
      </c>
      <c r="E89" s="5">
        <v>230</v>
      </c>
      <c r="F89" s="5" t="s">
        <v>364</v>
      </c>
      <c r="G89" s="74">
        <v>3</v>
      </c>
      <c r="H89" s="76" t="s">
        <v>366</v>
      </c>
      <c r="I89" s="75">
        <v>2.5</v>
      </c>
      <c r="J89" s="5"/>
      <c r="K89" s="5">
        <v>10</v>
      </c>
      <c r="L89" s="73">
        <v>1</v>
      </c>
      <c r="M89" s="5">
        <f t="shared" si="3"/>
        <v>0.82</v>
      </c>
      <c r="N89" s="5">
        <f>IF($I89&lt;&gt;"",'Annexe liste a câble'!C89+(ROUND((SQRT(3)*((0.0171*($K89/$I89))*$L89)*$D89)/($E89/100),2)),"")</f>
        <v>2.38</v>
      </c>
      <c r="O89" s="73">
        <f>VLOOKUP(B89,'Annexe liste a câble'!B:J,9,FALSE)</f>
        <v>1.042484254268395</v>
      </c>
      <c r="S89" s="1"/>
    </row>
    <row r="90" spans="1:19" x14ac:dyDescent="0.25">
      <c r="A90" s="5"/>
      <c r="B90" s="5"/>
      <c r="C90" s="89"/>
      <c r="D90" s="5"/>
      <c r="E90" s="5"/>
      <c r="F90" s="5"/>
      <c r="G90" s="74"/>
      <c r="H90" s="76"/>
      <c r="I90" s="75"/>
      <c r="J90" s="5"/>
      <c r="K90" s="5"/>
      <c r="L90" s="73"/>
      <c r="M90" s="5"/>
      <c r="N90" s="5"/>
      <c r="O90" s="73" t="str">
        <f>VLOOKUP(B90,'Annexe liste a câble'!B:J,9,FALSE)</f>
        <v/>
      </c>
      <c r="S90" s="1"/>
    </row>
    <row r="91" spans="1:19" x14ac:dyDescent="0.25">
      <c r="S91" s="1"/>
    </row>
    <row r="92" spans="1:19" x14ac:dyDescent="0.25">
      <c r="S92" s="1"/>
    </row>
    <row r="93" spans="1:19" x14ac:dyDescent="0.25">
      <c r="S93" s="1"/>
    </row>
  </sheetData>
  <pageMargins left="0.25" right="0.25" top="0.75" bottom="0.75" header="0.3" footer="0.3"/>
  <pageSetup paperSize="9" orientation="portrait" verticalDpi="0" r:id="rId1"/>
  <ignoredErrors>
    <ignoredError sqref="C4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5"/>
  <sheetViews>
    <sheetView topLeftCell="A13" workbookViewId="0">
      <selection activeCell="C25" sqref="C25"/>
    </sheetView>
  </sheetViews>
  <sheetFormatPr baseColWidth="10" defaultRowHeight="15" x14ac:dyDescent="0.25"/>
  <cols>
    <col min="3" max="3" width="15.42578125" customWidth="1"/>
    <col min="5" max="6" width="11.42578125" style="26"/>
    <col min="9" max="10" width="11.42578125" style="26"/>
  </cols>
  <sheetData>
    <row r="1" spans="1:10" x14ac:dyDescent="0.25">
      <c r="A1" t="str">
        <f>'Liste a câbles'!A1</f>
        <v>Tenant</v>
      </c>
      <c r="B1" t="str">
        <f>'Liste a câbles'!B1</f>
        <v>Aboutissant</v>
      </c>
      <c r="C1" s="77" t="s">
        <v>380</v>
      </c>
      <c r="E1" s="26" t="s">
        <v>384</v>
      </c>
      <c r="F1" s="26" t="s">
        <v>385</v>
      </c>
      <c r="G1" t="s">
        <v>381</v>
      </c>
      <c r="H1" t="s">
        <v>382</v>
      </c>
      <c r="I1" s="26" t="s">
        <v>383</v>
      </c>
      <c r="J1" s="26" t="s">
        <v>183</v>
      </c>
    </row>
    <row r="2" spans="1:10" x14ac:dyDescent="0.25">
      <c r="A2" t="str">
        <f>'Liste a câbles'!A2</f>
        <v>E1</v>
      </c>
      <c r="B2" t="str">
        <f>'Liste a câbles'!B2</f>
        <v>E1</v>
      </c>
      <c r="C2">
        <f>VLOOKUP('Liste a câbles'!A2,'Liste a câbles'!B:N,13,FALSE)</f>
        <v>0</v>
      </c>
      <c r="E2" s="26">
        <v>0</v>
      </c>
      <c r="F2" s="26">
        <v>32.799999999999997</v>
      </c>
      <c r="J2" s="26">
        <v>7.04</v>
      </c>
    </row>
    <row r="3" spans="1:10" x14ac:dyDescent="0.25">
      <c r="A3" t="str">
        <f>'Liste a câbles'!A3</f>
        <v>E2</v>
      </c>
      <c r="B3" t="str">
        <f>'Liste a câbles'!B3</f>
        <v>E2</v>
      </c>
      <c r="C3">
        <f>VLOOKUP('Liste a câbles'!A3,'Liste a câbles'!B:N,13,FALSE)</f>
        <v>0</v>
      </c>
      <c r="E3" s="26">
        <v>0</v>
      </c>
      <c r="F3" s="26">
        <v>20.32</v>
      </c>
      <c r="J3" s="26">
        <v>11.37</v>
      </c>
    </row>
    <row r="4" spans="1:10" x14ac:dyDescent="0.25">
      <c r="A4" t="str">
        <f>'Liste a câbles'!A4</f>
        <v>E1</v>
      </c>
      <c r="B4" t="str">
        <f>'Liste a câbles'!B4</f>
        <v>E11</v>
      </c>
      <c r="C4">
        <f>VLOOKUP('Liste a câbles'!A4,'Liste a câbles'!B:N,13,FALSE)</f>
        <v>0</v>
      </c>
      <c r="E4" s="26">
        <f>IF('Liste a câbles'!$K4&lt;&gt;"",G4+(0.01851*('Liste a câbles'!$K4/'Liste a câbles'!$I4)*1000),"")</f>
        <v>18.509999999999998</v>
      </c>
      <c r="F4" s="26">
        <f>IF('Liste a câbles'!$K4&lt;&gt;"",H4+(0.08*'Liste a câbles'!$K4),"")</f>
        <v>35.599999999999994</v>
      </c>
      <c r="G4" s="26">
        <f>VLOOKUP($A4,$B:$F,4,FALSE)</f>
        <v>0</v>
      </c>
      <c r="H4" s="26">
        <f>VLOOKUP($A4,$B:$F,5,FALSE)</f>
        <v>32.799999999999997</v>
      </c>
      <c r="I4" s="26">
        <f t="shared" ref="I4:I36" si="0">IF(E4&lt;&gt;"",SQRT(POWER(E4,2)+(POWER(F4,2))),"")</f>
        <v>40.124557318430313</v>
      </c>
      <c r="J4" s="26">
        <f>IF(E4&lt;&gt;"",(('Liste a câbles'!E4/SQRT(3))/'Annexe liste a câble'!I4),"")</f>
        <v>5.7555802010000789</v>
      </c>
    </row>
    <row r="5" spans="1:10" x14ac:dyDescent="0.25">
      <c r="A5" t="str">
        <f>'Liste a câbles'!A5</f>
        <v>E1</v>
      </c>
      <c r="B5" t="str">
        <f>'Liste a câbles'!B5</f>
        <v>GL-A1</v>
      </c>
      <c r="C5">
        <f>VLOOKUP('Liste a câbles'!A5,'Liste a câbles'!B:N,13,FALSE)</f>
        <v>0</v>
      </c>
      <c r="E5" s="26" t="str">
        <f>IF('Liste a câbles'!$K5&lt;&gt;"",G5+(0.01851*('Liste a câbles'!$K5/'Liste a câbles'!$I5)*1000),"")</f>
        <v/>
      </c>
      <c r="F5" s="26" t="str">
        <f>IF('Liste a câbles'!$K5&lt;&gt;"",H5+(0.08*'Liste a câbles'!$K5),"")</f>
        <v/>
      </c>
      <c r="G5" s="26">
        <f>VLOOKUP($A5,$B:$F,4,FALSE)</f>
        <v>0</v>
      </c>
      <c r="H5" s="26">
        <f>VLOOKUP($A5,$B:$F,5,FALSE)</f>
        <v>32.799999999999997</v>
      </c>
      <c r="I5" s="26" t="str">
        <f t="shared" si="0"/>
        <v/>
      </c>
      <c r="J5" s="26" t="str">
        <f>IF(E5&lt;&gt;"",(('Liste a câbles'!E5/SQRT(3))/'Annexe liste a câble'!I5),"")</f>
        <v/>
      </c>
    </row>
    <row r="6" spans="1:10" x14ac:dyDescent="0.25">
      <c r="A6" t="str">
        <f>'Liste a câbles'!A6</f>
        <v>E1</v>
      </c>
      <c r="B6" t="str">
        <f>'Liste a câbles'!B6</f>
        <v>GL-B5</v>
      </c>
      <c r="C6">
        <f>VLOOKUP('Liste a câbles'!A6,'Liste a câbles'!B:N,13,FALSE)</f>
        <v>0</v>
      </c>
      <c r="E6" s="26" t="str">
        <f>IF('Liste a câbles'!$K6&lt;&gt;"",G6+(0.01851*('Liste a câbles'!$K6/'Liste a câbles'!$I6)*1000),"")</f>
        <v/>
      </c>
      <c r="F6" s="26" t="str">
        <f>IF('Liste a câbles'!$K6&lt;&gt;"",H6+(0.08*'Liste a câbles'!$K6),"")</f>
        <v/>
      </c>
      <c r="G6" s="26">
        <f>VLOOKUP($A6,$B:$F,4,FALSE)</f>
        <v>0</v>
      </c>
      <c r="H6" s="26">
        <f>VLOOKUP($A6,$B:$F,5,FALSE)</f>
        <v>32.799999999999997</v>
      </c>
      <c r="I6" s="26" t="str">
        <f t="shared" si="0"/>
        <v/>
      </c>
      <c r="J6" s="26" t="str">
        <f>IF(E6&lt;&gt;"",(('Liste a câbles'!E6/SQRT(3))/'Annexe liste a câble'!I6),"")</f>
        <v/>
      </c>
    </row>
    <row r="7" spans="1:10" x14ac:dyDescent="0.25">
      <c r="A7" t="str">
        <f>'Liste a câbles'!A7</f>
        <v>E2</v>
      </c>
      <c r="B7" t="str">
        <f>'Liste a câbles'!B7</f>
        <v>E21</v>
      </c>
      <c r="C7">
        <f>VLOOKUP('Liste a câbles'!A7,'Liste a câbles'!B:N,13,FALSE)</f>
        <v>0</v>
      </c>
      <c r="E7" s="26">
        <f>IF('Liste a câbles'!$K7&lt;&gt;"",G7+(0.01851*('Liste a câbles'!$K7/'Liste a câbles'!$I7)*1000),"")</f>
        <v>37.019999999999996</v>
      </c>
      <c r="F7" s="26">
        <f>IF('Liste a câbles'!$K7&lt;&gt;"",H7+(0.08*'Liste a câbles'!$K7),"")</f>
        <v>28.32</v>
      </c>
      <c r="G7" s="26">
        <f>VLOOKUP($A7,$B:$F,4,FALSE)</f>
        <v>0</v>
      </c>
      <c r="H7" s="26">
        <f>VLOOKUP($A7,$B:$F,5,FALSE)</f>
        <v>20.32</v>
      </c>
      <c r="I7" s="26">
        <f t="shared" si="0"/>
        <v>46.610114782094236</v>
      </c>
      <c r="J7" s="26">
        <f>IF(E7&lt;&gt;"",(('Liste a câbles'!E7/SQRT(3))/'Annexe liste a câble'!I7),"")</f>
        <v>4.9547208530919216</v>
      </c>
    </row>
    <row r="8" spans="1:10" x14ac:dyDescent="0.25">
      <c r="A8" t="str">
        <f>'Liste a câbles'!A8</f>
        <v>E2</v>
      </c>
      <c r="B8" t="str">
        <f>'Liste a câbles'!B8</f>
        <v>E22</v>
      </c>
      <c r="C8">
        <f>VLOOKUP('Liste a câbles'!A8,'Liste a câbles'!B:N,13,FALSE)</f>
        <v>0</v>
      </c>
      <c r="E8" s="26">
        <f>IF('Liste a câbles'!$K8&lt;&gt;"",G8+(0.01851*('Liste a câbles'!$K8/'Liste a câbles'!$I8)*1000),"")</f>
        <v>55.529999999999994</v>
      </c>
      <c r="F8" s="26">
        <f>IF('Liste a câbles'!$K8&lt;&gt;"",H8+(0.08*'Liste a câbles'!$K8),"")</f>
        <v>22.72</v>
      </c>
      <c r="G8" s="26">
        <f>VLOOKUP($A8,$B:$F,4,FALSE)</f>
        <v>0</v>
      </c>
      <c r="H8" s="26">
        <f>VLOOKUP($A8,$B:$F,5,FALSE)</f>
        <v>20.32</v>
      </c>
      <c r="I8" s="26">
        <f t="shared" si="0"/>
        <v>59.998160805144678</v>
      </c>
      <c r="J8" s="26">
        <f>IF(E8&lt;&gt;"",(('Liste a câbles'!E8/SQRT(3))/'Annexe liste a câble'!I8),"")</f>
        <v>3.8491197826192005</v>
      </c>
    </row>
    <row r="9" spans="1:10" x14ac:dyDescent="0.25">
      <c r="A9" t="str">
        <f>'Liste a câbles'!A9</f>
        <v>E2</v>
      </c>
      <c r="B9" t="str">
        <f>'Liste a câbles'!B9</f>
        <v>E22</v>
      </c>
      <c r="C9">
        <f>VLOOKUP('Liste a câbles'!A9,'Liste a câbles'!B:N,13,FALSE)</f>
        <v>0</v>
      </c>
      <c r="E9" s="26">
        <f>IF('Liste a câbles'!$K9&lt;&gt;"",G9+(0.01851*('Liste a câbles'!$K9/'Liste a câbles'!$I9)*1000),"")</f>
        <v>55.529999999999994</v>
      </c>
      <c r="F9" s="26">
        <f>IF('Liste a câbles'!$K9&lt;&gt;"",H9+(0.08*'Liste a câbles'!$K9),"")</f>
        <v>22.72</v>
      </c>
      <c r="G9" s="26">
        <f>VLOOKUP($A9,$B:$F,4,FALSE)</f>
        <v>0</v>
      </c>
      <c r="H9" s="26">
        <f>VLOOKUP($A9,$B:$F,5,FALSE)</f>
        <v>20.32</v>
      </c>
      <c r="I9" s="26">
        <f t="shared" si="0"/>
        <v>59.998160805144678</v>
      </c>
      <c r="J9" s="26">
        <f>IF(E9&lt;&gt;"",(('Liste a câbles'!E9/SQRT(3))/'Annexe liste a câble'!I9),"")</f>
        <v>3.8491197826192005</v>
      </c>
    </row>
    <row r="10" spans="1:10" x14ac:dyDescent="0.25">
      <c r="A10" t="str">
        <f>'Liste a câbles'!A10</f>
        <v>E2</v>
      </c>
      <c r="B10" t="str">
        <f>'Liste a câbles'!B10</f>
        <v>E22</v>
      </c>
      <c r="C10">
        <f>VLOOKUP('Liste a câbles'!A10,'Liste a câbles'!B:N,13,FALSE)</f>
        <v>0</v>
      </c>
      <c r="E10" s="26">
        <f>IF('Liste a câbles'!$K10&lt;&gt;"",G10+(0.01851*('Liste a câbles'!$K10/'Liste a câbles'!$I10)*1000),"")</f>
        <v>55.529999999999994</v>
      </c>
      <c r="F10" s="26">
        <f>IF('Liste a câbles'!$K10&lt;&gt;"",H10+(0.08*'Liste a câbles'!$K10),"")</f>
        <v>22.72</v>
      </c>
      <c r="G10" s="26">
        <f>VLOOKUP($A10,$B:$F,4,FALSE)</f>
        <v>0</v>
      </c>
      <c r="H10" s="26">
        <f>VLOOKUP($A10,$B:$F,5,FALSE)</f>
        <v>20.32</v>
      </c>
      <c r="I10" s="26">
        <f t="shared" si="0"/>
        <v>59.998160805144678</v>
      </c>
      <c r="J10" s="26">
        <f>IF(E10&lt;&gt;"",(('Liste a câbles'!E10/SQRT(3))/'Annexe liste a câble'!I10),"")</f>
        <v>3.8491197826192005</v>
      </c>
    </row>
    <row r="11" spans="1:10" x14ac:dyDescent="0.25">
      <c r="A11" t="str">
        <f>'Liste a câbles'!A11</f>
        <v>E2</v>
      </c>
      <c r="B11" t="str">
        <f>'Liste a câbles'!B11</f>
        <v>E23</v>
      </c>
      <c r="C11">
        <f>VLOOKUP('Liste a câbles'!A11,'Liste a câbles'!B:N,13,FALSE)</f>
        <v>0</v>
      </c>
      <c r="E11" s="26">
        <f>IF('Liste a câbles'!$K11&lt;&gt;"",G11+(0.01851*('Liste a câbles'!$K11/'Liste a câbles'!$I11)*1000),"")</f>
        <v>18.509999999999998</v>
      </c>
      <c r="F11" s="26">
        <f>IF('Liste a câbles'!$K11&lt;&gt;"",H11+(0.08*'Liste a câbles'!$K11),"")</f>
        <v>24.32</v>
      </c>
      <c r="G11" s="26">
        <f>VLOOKUP($A11,$B:$F,4,FALSE)</f>
        <v>0</v>
      </c>
      <c r="H11" s="26">
        <f>VLOOKUP($A11,$B:$F,5,FALSE)</f>
        <v>20.32</v>
      </c>
      <c r="I11" s="26">
        <f t="shared" si="0"/>
        <v>30.562763291299429</v>
      </c>
      <c r="J11" s="26">
        <f>IF(E11&lt;&gt;"",(('Liste a câbles'!E11/SQRT(3))/'Annexe liste a câble'!I11),"")</f>
        <v>7.5562574455299361</v>
      </c>
    </row>
    <row r="12" spans="1:10" x14ac:dyDescent="0.25">
      <c r="A12" t="str">
        <f>'Liste a câbles'!A12</f>
        <v>PR-A1</v>
      </c>
      <c r="B12" t="str">
        <f>'Liste a câbles'!B12</f>
        <v>E24</v>
      </c>
      <c r="C12">
        <f>VLOOKUP('Liste a câbles'!A12,'Liste a câbles'!B:N,13,FALSE)</f>
        <v>1.67</v>
      </c>
      <c r="E12" s="26">
        <f>IF('Liste a câbles'!$K12&lt;&gt;"",G12+(0.01851*('Liste a câbles'!$K12/'Liste a câbles'!$I12)*1000),"")</f>
        <v>111.06</v>
      </c>
      <c r="F12" s="26">
        <f>IF('Liste a câbles'!$K12&lt;&gt;"",H12+(0.08*'Liste a câbles'!$K12),"")</f>
        <v>30.72</v>
      </c>
      <c r="G12" s="26">
        <f>VLOOKUP($A12,$B:$F,4,FALSE)</f>
        <v>18.509999999999998</v>
      </c>
      <c r="H12" s="26">
        <f>VLOOKUP($A12,$B:$F,5,FALSE)</f>
        <v>24.32</v>
      </c>
      <c r="I12" s="26">
        <f t="shared" si="0"/>
        <v>115.23038661741963</v>
      </c>
      <c r="J12" s="26">
        <f>IF(E12&lt;&gt;"",(('Liste a câbles'!E12/SQRT(3))/'Annexe liste a câble'!I12),"")</f>
        <v>2.0041597920052334</v>
      </c>
    </row>
    <row r="13" spans="1:10" x14ac:dyDescent="0.25">
      <c r="A13" t="str">
        <f>'Liste a câbles'!A13</f>
        <v>E2</v>
      </c>
      <c r="B13" t="str">
        <f>'Liste a câbles'!B13</f>
        <v>E25</v>
      </c>
      <c r="C13">
        <f>VLOOKUP('Liste a câbles'!A13,'Liste a câbles'!B:N,13,FALSE)</f>
        <v>0</v>
      </c>
      <c r="E13" s="26">
        <f>IF('Liste a câbles'!$K13&lt;&gt;"",G13+(0.01851*('Liste a câbles'!$K13/'Liste a câbles'!$I13)*1000),"")</f>
        <v>44.423999999999999</v>
      </c>
      <c r="F13" s="26">
        <f>IF('Liste a câbles'!$K13&lt;&gt;"",H13+(0.08*'Liste a câbles'!$K13),"")</f>
        <v>25.12</v>
      </c>
      <c r="G13" s="26">
        <f>VLOOKUP($A13,$B:$F,4,FALSE)</f>
        <v>0</v>
      </c>
      <c r="H13" s="26">
        <f>VLOOKUP($A13,$B:$F,5,FALSE)</f>
        <v>20.32</v>
      </c>
      <c r="I13" s="26">
        <f t="shared" si="0"/>
        <v>51.034362698088039</v>
      </c>
      <c r="J13" s="26">
        <f>IF(E13&lt;&gt;"",(('Liste a câbles'!E13/SQRT(3))/'Annexe liste a câble'!I13),"")</f>
        <v>4.5251884312156267</v>
      </c>
    </row>
    <row r="14" spans="1:10" x14ac:dyDescent="0.25">
      <c r="A14" t="str">
        <f>'Liste a câbles'!A14</f>
        <v>E23</v>
      </c>
      <c r="B14" t="str">
        <f>'Liste a câbles'!B14</f>
        <v>E26</v>
      </c>
      <c r="C14">
        <f>VLOOKUP('Liste a câbles'!A14,'Liste a câbles'!B:N,13,FALSE)</f>
        <v>0.93</v>
      </c>
      <c r="E14" s="26">
        <f>IF('Liste a câbles'!$K14&lt;&gt;"",G14+(0.01851*('Liste a câbles'!$K14/'Liste a câbles'!$I14)*1000),"")</f>
        <v>31.73142857142857</v>
      </c>
      <c r="F14" s="26">
        <f>IF('Liste a câbles'!$K14&lt;&gt;"",H14+(0.08*'Liste a câbles'!$K14),"")</f>
        <v>26.32</v>
      </c>
      <c r="G14" s="26">
        <f>VLOOKUP($A14,$B:$F,4,FALSE)</f>
        <v>18.509999999999998</v>
      </c>
      <c r="H14" s="26">
        <f>VLOOKUP($A14,$B:$F,5,FALSE)</f>
        <v>24.32</v>
      </c>
      <c r="I14" s="26">
        <f t="shared" si="0"/>
        <v>41.22652009548797</v>
      </c>
      <c r="J14" s="26">
        <f>IF(E14&lt;&gt;"",(('Liste a câbles'!E14/SQRT(3))/'Annexe liste a câble'!I14),"")</f>
        <v>5.6017366282905243</v>
      </c>
    </row>
    <row r="15" spans="1:10" x14ac:dyDescent="0.25">
      <c r="A15" t="str">
        <f>'Liste a câbles'!A15</f>
        <v>E24</v>
      </c>
      <c r="B15" t="str">
        <f>'Liste a câbles'!B15</f>
        <v>E27</v>
      </c>
      <c r="C15">
        <f>VLOOKUP('Liste a câbles'!A15,'Liste a câbles'!B:N,13,FALSE)</f>
        <v>4.63</v>
      </c>
      <c r="E15" s="26">
        <f>IF('Liste a câbles'!$K15&lt;&gt;"",G15+(0.01851*('Liste a câbles'!$K15/'Liste a câbles'!$I15)*1000),"")</f>
        <v>172.76</v>
      </c>
      <c r="F15" s="26">
        <f>IF('Liste a câbles'!$K15&lt;&gt;"",H15+(0.08*'Liste a câbles'!$K15),"")</f>
        <v>32.32</v>
      </c>
      <c r="G15" s="26">
        <f>VLOOKUP($A15,$B:$F,4,FALSE)</f>
        <v>111.06</v>
      </c>
      <c r="H15" s="26">
        <f>VLOOKUP($A15,$B:$F,5,FALSE)</f>
        <v>30.72</v>
      </c>
      <c r="I15" s="26">
        <f t="shared" si="0"/>
        <v>175.75721891290837</v>
      </c>
      <c r="J15" s="26">
        <f>IF(E15&lt;&gt;"",(('Liste a câbles'!E15/SQRT(3))/'Annexe liste a câble'!I15),"")</f>
        <v>1.3139722459439138</v>
      </c>
    </row>
    <row r="16" spans="1:10" x14ac:dyDescent="0.25">
      <c r="A16" t="str">
        <f>'Liste a câbles'!A16</f>
        <v>E2</v>
      </c>
      <c r="B16" t="str">
        <f>'Liste a câbles'!B16</f>
        <v>GR-A1</v>
      </c>
      <c r="C16">
        <f>VLOOKUP('Liste a câbles'!A16,'Liste a câbles'!B:N,13,FALSE)</f>
        <v>0</v>
      </c>
      <c r="E16" s="26">
        <f>IF('Liste a câbles'!$K16&lt;&gt;"",G16+(0.01851*('Liste a câbles'!$K16/'Liste a câbles'!$I16)*1000),"")</f>
        <v>1.2339999999999998</v>
      </c>
      <c r="F16" s="26">
        <f>IF('Liste a câbles'!$K16&lt;&gt;"",H16+(0.08*'Liste a câbles'!$K16),"")</f>
        <v>21.12</v>
      </c>
      <c r="G16" s="26">
        <f>VLOOKUP($A16,$B:$F,4,FALSE)</f>
        <v>0</v>
      </c>
      <c r="H16" s="26">
        <f>VLOOKUP($A16,$B:$F,5,FALSE)</f>
        <v>20.32</v>
      </c>
      <c r="I16" s="26">
        <f t="shared" si="0"/>
        <v>21.156019379836085</v>
      </c>
      <c r="J16" s="26">
        <f>IF(E16&lt;&gt;"",(('Liste a câbles'!E16/SQRT(3))/'Annexe liste a câble'!I16),"")</f>
        <v>10.916047273806177</v>
      </c>
    </row>
    <row r="17" spans="1:10" x14ac:dyDescent="0.25">
      <c r="A17" t="str">
        <f>'Liste a câbles'!A17</f>
        <v>E2</v>
      </c>
      <c r="B17" t="str">
        <f>'Liste a câbles'!B17</f>
        <v>BL-B2</v>
      </c>
      <c r="C17">
        <f>VLOOKUP('Liste a câbles'!A17,'Liste a câbles'!B:N,13,FALSE)</f>
        <v>0</v>
      </c>
      <c r="E17" s="26" t="str">
        <f>IF('Liste a câbles'!$K17&lt;&gt;"",G17+(0.01851*('Liste a câbles'!$K17/'Liste a câbles'!$I17)*1000),"")</f>
        <v/>
      </c>
      <c r="F17" s="26" t="str">
        <f>IF('Liste a câbles'!$K17&lt;&gt;"",H17+(0.08*'Liste a câbles'!$K17),"")</f>
        <v/>
      </c>
      <c r="G17" s="26">
        <f>VLOOKUP($A17,$B:$F,4,FALSE)</f>
        <v>0</v>
      </c>
      <c r="H17" s="26">
        <f>VLOOKUP($A17,$B:$F,5,FALSE)</f>
        <v>20.32</v>
      </c>
      <c r="I17" s="26" t="str">
        <f t="shared" si="0"/>
        <v/>
      </c>
      <c r="J17" s="26" t="str">
        <f>IF(E17&lt;&gt;"",(('Liste a câbles'!E17/SQRT(3))/'Annexe liste a câble'!I17),"")</f>
        <v/>
      </c>
    </row>
    <row r="18" spans="1:10" x14ac:dyDescent="0.25">
      <c r="A18" t="str">
        <f>'Liste a câbles'!A18</f>
        <v>E2</v>
      </c>
      <c r="B18" t="str">
        <f>'Liste a câbles'!B18</f>
        <v>PR-A2</v>
      </c>
      <c r="C18">
        <f>VLOOKUP('Liste a câbles'!A18,'Liste a câbles'!B:N,13,FALSE)</f>
        <v>0</v>
      </c>
      <c r="E18" s="26">
        <f>IF('Liste a câbles'!$K18&lt;&gt;"",G18+(0.01851*('Liste a câbles'!$K18/'Liste a câbles'!$I18)*1000),"")</f>
        <v>13.63894736842105</v>
      </c>
      <c r="F18" s="26">
        <f>IF('Liste a câbles'!$K18&lt;&gt;"",H18+(0.08*'Liste a câbles'!$K18),"")</f>
        <v>25.92</v>
      </c>
      <c r="G18" s="26">
        <f>VLOOKUP($A18,$B:$F,4,FALSE)</f>
        <v>0</v>
      </c>
      <c r="H18" s="26">
        <f>VLOOKUP($A18,$B:$F,5,FALSE)</f>
        <v>20.32</v>
      </c>
      <c r="I18" s="26">
        <f t="shared" si="0"/>
        <v>29.289371541884602</v>
      </c>
      <c r="J18" s="26">
        <f>IF(E18&lt;&gt;"",(('Liste a câbles'!E18/SQRT(3))/'Annexe liste a câble'!I18),"")</f>
        <v>7.8847751084587001</v>
      </c>
    </row>
    <row r="19" spans="1:10" x14ac:dyDescent="0.25">
      <c r="A19" t="str">
        <f>'Liste a câbles'!A19</f>
        <v>E2</v>
      </c>
      <c r="B19" t="str">
        <f>'Liste a câbles'!B19</f>
        <v>PR-A3</v>
      </c>
      <c r="C19">
        <f>VLOOKUP('Liste a câbles'!A19,'Liste a câbles'!B:N,13,FALSE)</f>
        <v>0</v>
      </c>
      <c r="E19" s="26">
        <f>IF('Liste a câbles'!$K19&lt;&gt;"",G19+(0.01851*('Liste a câbles'!$K19/'Liste a câbles'!$I19)*1000),"")</f>
        <v>29.616</v>
      </c>
      <c r="F19" s="26">
        <f>IF('Liste a câbles'!$K19&lt;&gt;"",H19+(0.08*'Liste a câbles'!$K19),"")</f>
        <v>23.52</v>
      </c>
      <c r="G19" s="26">
        <f>VLOOKUP($A19,$B:$F,4,FALSE)</f>
        <v>0</v>
      </c>
      <c r="H19" s="26">
        <f>VLOOKUP($A19,$B:$F,5,FALSE)</f>
        <v>20.32</v>
      </c>
      <c r="I19" s="26">
        <f t="shared" si="0"/>
        <v>37.819278893178279</v>
      </c>
      <c r="J19" s="26">
        <f>IF(E19&lt;&gt;"",(('Liste a câbles'!E19/SQRT(3))/'Annexe liste a câble'!I19),"")</f>
        <v>6.1064122435583128</v>
      </c>
    </row>
    <row r="20" spans="1:10" x14ac:dyDescent="0.25">
      <c r="A20" t="str">
        <f>'Liste a câbles'!A20</f>
        <v>E2</v>
      </c>
      <c r="B20" t="str">
        <f>'Liste a câbles'!B20</f>
        <v>PR-A3</v>
      </c>
      <c r="C20">
        <f>VLOOKUP('Liste a câbles'!A20,'Liste a câbles'!B:N,13,FALSE)</f>
        <v>0</v>
      </c>
      <c r="E20" s="26">
        <f>IF('Liste a câbles'!$K20&lt;&gt;"",G20+(0.01851*('Liste a câbles'!$K20/'Liste a câbles'!$I20)*1000),"")</f>
        <v>46.274999999999999</v>
      </c>
      <c r="F20" s="26">
        <f>IF('Liste a câbles'!$K20&lt;&gt;"",H20+(0.08*'Liste a câbles'!$K20),"")</f>
        <v>23.52</v>
      </c>
      <c r="G20" s="26">
        <f>VLOOKUP($A20,$B:$F,4,FALSE)</f>
        <v>0</v>
      </c>
      <c r="H20" s="26">
        <f>VLOOKUP($A20,$B:$F,5,FALSE)</f>
        <v>20.32</v>
      </c>
      <c r="I20" s="26">
        <f t="shared" si="0"/>
        <v>51.909209443026576</v>
      </c>
      <c r="J20" s="26">
        <f>IF(E20&lt;&gt;"",(('Liste a câbles'!E20/SQRT(3))/'Annexe liste a câble'!I20),"")</f>
        <v>4.4489236140134389</v>
      </c>
    </row>
    <row r="21" spans="1:10" x14ac:dyDescent="0.25">
      <c r="A21" t="str">
        <f>'Liste a câbles'!A21</f>
        <v>E2</v>
      </c>
      <c r="B21" t="str">
        <f>'Liste a câbles'!B21</f>
        <v>PR-A6</v>
      </c>
      <c r="C21">
        <f>VLOOKUP('Liste a câbles'!A21,'Liste a câbles'!B:N,13,FALSE)</f>
        <v>0</v>
      </c>
      <c r="E21" s="26" t="str">
        <f>IF('Liste a câbles'!$K21&lt;&gt;"",G21+(0.01851*('Liste a câbles'!$K21/'Liste a câbles'!$I21)*1000),"")</f>
        <v/>
      </c>
      <c r="F21" s="26" t="str">
        <f>IF('Liste a câbles'!$K21&lt;&gt;"",H21+(0.08*'Liste a câbles'!$K21),"")</f>
        <v/>
      </c>
      <c r="G21" s="26">
        <f>VLOOKUP($A21,$B:$F,4,FALSE)</f>
        <v>0</v>
      </c>
      <c r="H21" s="26">
        <f>VLOOKUP($A21,$B:$F,5,FALSE)</f>
        <v>20.32</v>
      </c>
      <c r="I21" s="26" t="str">
        <f t="shared" si="0"/>
        <v/>
      </c>
      <c r="J21" s="26" t="str">
        <f>IF(E21&lt;&gt;"",(('Liste a câbles'!E21/SQRT(3))/'Annexe liste a câble'!I21),"")</f>
        <v/>
      </c>
    </row>
    <row r="22" spans="1:10" x14ac:dyDescent="0.25">
      <c r="A22" t="str">
        <f>'Liste a câbles'!A22</f>
        <v>E2</v>
      </c>
      <c r="B22" t="str">
        <f>'Liste a câbles'!B22</f>
        <v>PR-A1</v>
      </c>
      <c r="C22">
        <f>VLOOKUP('Liste a câbles'!A22,'Liste a câbles'!B:N,13,FALSE)</f>
        <v>0</v>
      </c>
      <c r="E22" s="26">
        <f>IF('Liste a câbles'!$K22&lt;&gt;"",G22+(0.01851*('Liste a câbles'!$K22/'Liste a câbles'!$I22)*1000),"")</f>
        <v>18.509999999999998</v>
      </c>
      <c r="F22" s="26">
        <f>IF('Liste a câbles'!$K22&lt;&gt;"",H22+(0.08*'Liste a câbles'!$K22),"")</f>
        <v>24.32</v>
      </c>
      <c r="G22" s="26">
        <f>VLOOKUP($A22,$B:$F,4,FALSE)</f>
        <v>0</v>
      </c>
      <c r="H22" s="26">
        <f>VLOOKUP($A22,$B:$F,5,FALSE)</f>
        <v>20.32</v>
      </c>
      <c r="I22" s="26">
        <f t="shared" si="0"/>
        <v>30.562763291299429</v>
      </c>
      <c r="J22" s="26">
        <f>IF(E22&lt;&gt;"",(('Liste a câbles'!E22/SQRT(3))/'Annexe liste a câble'!I22),"")</f>
        <v>7.5562574455299361</v>
      </c>
    </row>
    <row r="23" spans="1:10" x14ac:dyDescent="0.25">
      <c r="A23" t="str">
        <f>'Liste a câbles'!A23</f>
        <v>E2</v>
      </c>
      <c r="B23" t="str">
        <f>'Liste a câbles'!B23</f>
        <v>BL-C2/D2</v>
      </c>
      <c r="C23">
        <f>VLOOKUP('Liste a câbles'!A23,'Liste a câbles'!B:N,13,FALSE)</f>
        <v>0</v>
      </c>
      <c r="E23" s="26" t="str">
        <f>IF('Liste a câbles'!$K23&lt;&gt;"",G23+(0.01851*('Liste a câbles'!$K23/'Liste a câbles'!$I23)*1000),"")</f>
        <v/>
      </c>
      <c r="F23" s="26" t="str">
        <f>IF('Liste a câbles'!$K23&lt;&gt;"",H23+(0.08*'Liste a câbles'!$K23),"")</f>
        <v/>
      </c>
      <c r="G23" s="26">
        <f>VLOOKUP($A23,$B:$F,4,FALSE)</f>
        <v>0</v>
      </c>
      <c r="H23" s="26">
        <f>VLOOKUP($A23,$B:$F,5,FALSE)</f>
        <v>20.32</v>
      </c>
      <c r="I23" s="26" t="str">
        <f t="shared" si="0"/>
        <v/>
      </c>
      <c r="J23" s="26" t="str">
        <f>IF(E23&lt;&gt;"",(('Liste a câbles'!E23/SQRT(3))/'Annexe liste a câble'!I23),"")</f>
        <v/>
      </c>
    </row>
    <row r="24" spans="1:10" x14ac:dyDescent="0.25">
      <c r="A24" t="str">
        <f>'Liste a câbles'!A24</f>
        <v>E2</v>
      </c>
      <c r="B24" t="str">
        <f>'Liste a câbles'!B24</f>
        <v>BL-F2</v>
      </c>
      <c r="C24">
        <f>VLOOKUP('Liste a câbles'!A24,'Liste a câbles'!B:N,13,FALSE)</f>
        <v>0</v>
      </c>
      <c r="E24" s="26" t="str">
        <f>IF('Liste a câbles'!$K24&lt;&gt;"",G24+(0.01851*('Liste a câbles'!$K24/'Liste a câbles'!$I24)*1000),"")</f>
        <v/>
      </c>
      <c r="F24" s="26" t="str">
        <f>IF('Liste a câbles'!$K24&lt;&gt;"",H24+(0.08*'Liste a câbles'!$K24),"")</f>
        <v/>
      </c>
      <c r="G24" s="26">
        <f>VLOOKUP($A24,$B:$F,4,FALSE)</f>
        <v>0</v>
      </c>
      <c r="H24" s="26">
        <f>VLOOKUP($A24,$B:$F,5,FALSE)</f>
        <v>20.32</v>
      </c>
      <c r="I24" s="26" t="str">
        <f t="shared" si="0"/>
        <v/>
      </c>
      <c r="J24" s="26" t="str">
        <f>IF(E24&lt;&gt;"",(('Liste a câbles'!E24/SQRT(3))/'Annexe liste a câble'!I24),"")</f>
        <v/>
      </c>
    </row>
    <row r="25" spans="1:10" x14ac:dyDescent="0.25">
      <c r="A25" t="str">
        <f>'Liste a câbles'!A25</f>
        <v>BL-F2</v>
      </c>
      <c r="B25" t="str">
        <f>'Liste a câbles'!B25</f>
        <v>BL-G2</v>
      </c>
      <c r="C25" t="str">
        <f>VLOOKUP('Liste a câbles'!A25,'Liste a câbles'!B:N,13,FALSE)</f>
        <v/>
      </c>
      <c r="E25" s="26" t="str">
        <f>IF('Liste a câbles'!$K25&lt;&gt;"",G25+(0.01851*('Liste a câbles'!$K25/'Liste a câbles'!$I25)*1000),"")</f>
        <v/>
      </c>
      <c r="F25" s="26" t="str">
        <f>IF('Liste a câbles'!$K25&lt;&gt;"",H25+(0.08*'Liste a câbles'!$K25),"")</f>
        <v/>
      </c>
      <c r="G25" s="26" t="str">
        <f>VLOOKUP($A25,$B:$F,4,FALSE)</f>
        <v/>
      </c>
      <c r="H25" s="26" t="str">
        <f>VLOOKUP($A25,$B:$F,5,FALSE)</f>
        <v/>
      </c>
      <c r="I25" s="26" t="str">
        <f t="shared" ref="I25" si="1">IF(E25&lt;&gt;"",SQRT(POWER(E25,2)+(POWER(F25,2))),"")</f>
        <v/>
      </c>
      <c r="J25" s="26" t="str">
        <f>IF(E25&lt;&gt;"",(('Liste a câbles'!E25/SQRT(3))/'Annexe liste a câble'!I25),"")</f>
        <v/>
      </c>
    </row>
    <row r="26" spans="1:10" x14ac:dyDescent="0.25">
      <c r="A26" t="str">
        <f>'Liste a câbles'!A26</f>
        <v>E2</v>
      </c>
      <c r="B26" t="str">
        <f>'Liste a câbles'!B26</f>
        <v>GR-B1</v>
      </c>
      <c r="C26">
        <f>VLOOKUP('Liste a câbles'!A26,'Liste a câbles'!B:N,13,FALSE)</f>
        <v>0</v>
      </c>
      <c r="E26" s="26" t="str">
        <f>IF('Liste a câbles'!$K26&lt;&gt;"",G26+(0.01851*('Liste a câbles'!$K26/'Liste a câbles'!$I26)*1000),"")</f>
        <v/>
      </c>
      <c r="F26" s="26" t="str">
        <f>IF('Liste a câbles'!$K26&lt;&gt;"",H26+(0.08*'Liste a câbles'!$K26),"")</f>
        <v/>
      </c>
      <c r="G26" s="26">
        <f>VLOOKUP($A26,$B:$F,4,FALSE)</f>
        <v>0</v>
      </c>
      <c r="H26" s="26">
        <f>VLOOKUP($A26,$B:$F,5,FALSE)</f>
        <v>20.32</v>
      </c>
      <c r="I26" s="26" t="str">
        <f t="shared" si="0"/>
        <v/>
      </c>
      <c r="J26" s="26" t="str">
        <f>IF(E26&lt;&gt;"",(('Liste a câbles'!E26/SQRT(3))/'Annexe liste a câble'!I26),"")</f>
        <v/>
      </c>
    </row>
    <row r="27" spans="1:10" x14ac:dyDescent="0.25">
      <c r="A27" t="str">
        <f>'Liste a câbles'!A27</f>
        <v>E2</v>
      </c>
      <c r="B27" t="str">
        <f>'Liste a câbles'!B27</f>
        <v>BL-E3</v>
      </c>
      <c r="C27">
        <f>VLOOKUP('Liste a câbles'!A27,'Liste a câbles'!B:N,13,FALSE)</f>
        <v>0</v>
      </c>
      <c r="E27" s="26">
        <f>IF('Liste a câbles'!$K27&lt;&gt;"",G27+(0.01851*('Liste a câbles'!$K27/'Liste a câbles'!$I27)*1000),"")</f>
        <v>246.79999999999998</v>
      </c>
      <c r="F27" s="26">
        <f>IF('Liste a câbles'!$K27&lt;&gt;"",H27+(0.08*'Liste a câbles'!$K27),"")</f>
        <v>26.72</v>
      </c>
      <c r="G27" s="26">
        <f>VLOOKUP($A27,$B:$F,4,FALSE)</f>
        <v>0</v>
      </c>
      <c r="H27" s="26">
        <f>VLOOKUP($A27,$B:$F,5,FALSE)</f>
        <v>20.32</v>
      </c>
      <c r="I27" s="26">
        <f t="shared" si="0"/>
        <v>248.24221719925077</v>
      </c>
      <c r="J27" s="26">
        <f>IF(E27&lt;&gt;"",(('Liste a câbles'!E27/SQRT(3))/'Annexe liste a câble'!I27),"")</f>
        <v>0.93030150262671496</v>
      </c>
    </row>
    <row r="28" spans="1:10" x14ac:dyDescent="0.25">
      <c r="A28" t="str">
        <f>'Liste a câbles'!A28</f>
        <v>E2</v>
      </c>
      <c r="B28" t="str">
        <f>'Liste a câbles'!B28</f>
        <v>GR-C1</v>
      </c>
      <c r="C28">
        <f>VLOOKUP('Liste a câbles'!A28,'Liste a câbles'!B:N,13,FALSE)</f>
        <v>0</v>
      </c>
      <c r="E28" s="26" t="str">
        <f>IF('Liste a câbles'!$K28&lt;&gt;"",G28+(0.01851*('Liste a câbles'!$K28/'Liste a câbles'!$I28)*1000),"")</f>
        <v/>
      </c>
      <c r="F28" s="26" t="str">
        <f>IF('Liste a câbles'!$K28&lt;&gt;"",H28+(0.08*'Liste a câbles'!$K28),"")</f>
        <v/>
      </c>
      <c r="G28" s="26">
        <f>VLOOKUP($A28,$B:$F,4,FALSE)</f>
        <v>0</v>
      </c>
      <c r="H28" s="26">
        <f>VLOOKUP($A28,$B:$F,5,FALSE)</f>
        <v>20.32</v>
      </c>
      <c r="I28" s="26" t="str">
        <f t="shared" si="0"/>
        <v/>
      </c>
      <c r="J28" s="26" t="str">
        <f>IF(E28&lt;&gt;"",(('Liste a câbles'!E28/SQRT(3))/'Annexe liste a câble'!I28),"")</f>
        <v/>
      </c>
    </row>
    <row r="29" spans="1:10" x14ac:dyDescent="0.25">
      <c r="A29" t="str">
        <f>'Liste a câbles'!A29</f>
        <v>E2</v>
      </c>
      <c r="B29" t="str">
        <f>'Liste a câbles'!B29</f>
        <v>GR-C3</v>
      </c>
      <c r="C29">
        <f>VLOOKUP('Liste a câbles'!A29,'Liste a câbles'!B:N,13,FALSE)</f>
        <v>0</v>
      </c>
      <c r="E29" s="26" t="str">
        <f>IF('Liste a câbles'!$K29&lt;&gt;"",G29+(0.01851*('Liste a câbles'!$K29/'Liste a câbles'!$I29)*1000),"")</f>
        <v/>
      </c>
      <c r="F29" s="26" t="str">
        <f>IF('Liste a câbles'!$K29&lt;&gt;"",H29+(0.08*'Liste a câbles'!$K29),"")</f>
        <v/>
      </c>
      <c r="G29" s="26">
        <f>VLOOKUP($A29,$B:$F,4,FALSE)</f>
        <v>0</v>
      </c>
      <c r="H29" s="26">
        <f>VLOOKUP($A29,$B:$F,5,FALSE)</f>
        <v>20.32</v>
      </c>
      <c r="I29" s="26" t="str">
        <f t="shared" si="0"/>
        <v/>
      </c>
      <c r="J29" s="26" t="str">
        <f>IF(E29&lt;&gt;"",(('Liste a câbles'!E29/SQRT(3))/'Annexe liste a câble'!I29),"")</f>
        <v/>
      </c>
    </row>
    <row r="30" spans="1:10" x14ac:dyDescent="0.25">
      <c r="A30" t="str">
        <f>'Liste a câbles'!A30</f>
        <v>E2</v>
      </c>
      <c r="B30" t="str">
        <f>'Liste a câbles'!B30</f>
        <v>TC1</v>
      </c>
      <c r="C30">
        <f>VLOOKUP('Liste a câbles'!A30,'Liste a câbles'!B:N,13,FALSE)</f>
        <v>0</v>
      </c>
      <c r="E30" s="26" t="str">
        <f>IF('Liste a câbles'!$K30&lt;&gt;"",G30+(0.01851*('Liste a câbles'!$K30/'Liste a câbles'!$I30)*1000),"")</f>
        <v/>
      </c>
      <c r="F30" s="26" t="str">
        <f>IF('Liste a câbles'!$K30&lt;&gt;"",H30+(0.08*'Liste a câbles'!$K30),"")</f>
        <v/>
      </c>
      <c r="G30" s="26">
        <f>VLOOKUP($A30,$B:$F,4,FALSE)</f>
        <v>0</v>
      </c>
      <c r="H30" s="26">
        <f>VLOOKUP($A30,$B:$F,5,FALSE)</f>
        <v>20.32</v>
      </c>
      <c r="I30" s="26" t="str">
        <f t="shared" si="0"/>
        <v/>
      </c>
      <c r="J30" s="26" t="str">
        <f>IF(E30&lt;&gt;"",(('Liste a câbles'!E30/SQRT(3))/'Annexe liste a câble'!I30),"")</f>
        <v/>
      </c>
    </row>
    <row r="31" spans="1:10" x14ac:dyDescent="0.25">
      <c r="A31" t="str">
        <f>'Liste a câbles'!A31</f>
        <v>E2</v>
      </c>
      <c r="B31" t="str">
        <f>'Liste a câbles'!B31</f>
        <v>GR-D1</v>
      </c>
      <c r="C31">
        <f>VLOOKUP('Liste a câbles'!A31,'Liste a câbles'!B:N,13,FALSE)</f>
        <v>0</v>
      </c>
      <c r="E31" s="26" t="str">
        <f>IF('Liste a câbles'!$K31&lt;&gt;"",G31+(0.01851*('Liste a câbles'!$K31/'Liste a câbles'!$I31)*1000),"")</f>
        <v/>
      </c>
      <c r="F31" s="26" t="str">
        <f>IF('Liste a câbles'!$K31&lt;&gt;"",H31+(0.08*'Liste a câbles'!$K31),"")</f>
        <v/>
      </c>
      <c r="G31" s="26">
        <f>VLOOKUP($A31,$B:$F,4,FALSE)</f>
        <v>0</v>
      </c>
      <c r="H31" s="26">
        <f>VLOOKUP($A31,$B:$F,5,FALSE)</f>
        <v>20.32</v>
      </c>
      <c r="I31" s="26" t="str">
        <f t="shared" si="0"/>
        <v/>
      </c>
      <c r="J31" s="26" t="str">
        <f>IF(E31&lt;&gt;"",(('Liste a câbles'!E31/SQRT(3))/'Annexe liste a câble'!I31),"")</f>
        <v/>
      </c>
    </row>
    <row r="32" spans="1:10" x14ac:dyDescent="0.25">
      <c r="A32" t="str">
        <f>'Liste a câbles'!A32</f>
        <v>E2</v>
      </c>
      <c r="B32" t="str">
        <f>'Liste a câbles'!B32</f>
        <v>BL-E2</v>
      </c>
      <c r="C32">
        <f>VLOOKUP('Liste a câbles'!A32,'Liste a câbles'!B:N,13,FALSE)</f>
        <v>0</v>
      </c>
      <c r="E32" s="26" t="str">
        <f>IF('Liste a câbles'!$K32&lt;&gt;"",G32+(0.01851*('Liste a câbles'!$K32/'Liste a câbles'!$I32)*1000),"")</f>
        <v/>
      </c>
      <c r="F32" s="26" t="str">
        <f>IF('Liste a câbles'!$K32&lt;&gt;"",H32+(0.08*'Liste a câbles'!$K32),"")</f>
        <v/>
      </c>
      <c r="G32" s="26">
        <f>VLOOKUP($A32,$B:$F,4,FALSE)</f>
        <v>0</v>
      </c>
      <c r="H32" s="26">
        <f>VLOOKUP($A32,$B:$F,5,FALSE)</f>
        <v>20.32</v>
      </c>
      <c r="I32" s="26" t="str">
        <f t="shared" si="0"/>
        <v/>
      </c>
      <c r="J32" s="26" t="str">
        <f>IF(E32&lt;&gt;"",(('Liste a câbles'!E32/SQRT(3))/'Annexe liste a câble'!I32),"")</f>
        <v/>
      </c>
    </row>
    <row r="33" spans="1:10" x14ac:dyDescent="0.25">
      <c r="A33" t="str">
        <f>'Liste a câbles'!A33</f>
        <v>E2</v>
      </c>
      <c r="B33">
        <f>'Liste a câbles'!B33</f>
        <v>0</v>
      </c>
      <c r="C33">
        <f>VLOOKUP('Liste a câbles'!A33,'Liste a câbles'!B:N,13,FALSE)</f>
        <v>0</v>
      </c>
      <c r="E33" s="26" t="str">
        <f>IF('Liste a câbles'!$K33&lt;&gt;"",G33+(0.01851*('Liste a câbles'!$K33/'Liste a câbles'!$I33)*1000),"")</f>
        <v/>
      </c>
      <c r="F33" s="26" t="str">
        <f>IF('Liste a câbles'!$K33&lt;&gt;"",H33+(0.08*'Liste a câbles'!$K33),"")</f>
        <v/>
      </c>
      <c r="G33" s="26">
        <f>VLOOKUP($A33,$B:$F,4,FALSE)</f>
        <v>0</v>
      </c>
      <c r="H33" s="26">
        <f>VLOOKUP($A33,$B:$F,5,FALSE)</f>
        <v>20.32</v>
      </c>
      <c r="I33" s="26" t="str">
        <f t="shared" si="0"/>
        <v/>
      </c>
      <c r="J33" s="26" t="str">
        <f>IF(E33&lt;&gt;"",(('Liste a câbles'!E33/SQRT(3))/'Annexe liste a câble'!I33),"")</f>
        <v/>
      </c>
    </row>
    <row r="34" spans="1:10" x14ac:dyDescent="0.25">
      <c r="A34" t="str">
        <f>'Liste a câbles'!A34</f>
        <v>E11</v>
      </c>
      <c r="B34" t="str">
        <f>'Liste a câbles'!B34</f>
        <v>GL-B3/B4</v>
      </c>
      <c r="C34">
        <f>VLOOKUP('Liste a câbles'!A34,'Liste a câbles'!B:N,13,FALSE)</f>
        <v>0.83</v>
      </c>
      <c r="E34" s="26">
        <f>IF('Liste a câbles'!$K34&lt;&gt;"",G34+(0.01851*('Liste a câbles'!$K34/'Liste a câbles'!$I34)*1000),"")</f>
        <v>101.80499999999998</v>
      </c>
      <c r="F34" s="26">
        <f>IF('Liste a câbles'!$K34&lt;&gt;"",H34+(0.08*'Liste a câbles'!$K34),"")</f>
        <v>39.199999999999996</v>
      </c>
      <c r="G34" s="26">
        <f>VLOOKUP($A34,$B:$F,4,FALSE)</f>
        <v>18.509999999999998</v>
      </c>
      <c r="H34" s="26">
        <f>VLOOKUP($A34,$B:$F,5,FALSE)</f>
        <v>35.599999999999994</v>
      </c>
      <c r="I34" s="26">
        <f t="shared" si="0"/>
        <v>109.09123715954456</v>
      </c>
      <c r="J34" s="26">
        <f>IF(E34&lt;&gt;"",(('Liste a câbles'!E34/SQRT(3))/'Annexe liste a câble'!I34),"")</f>
        <v>2.1169446207499081</v>
      </c>
    </row>
    <row r="35" spans="1:10" x14ac:dyDescent="0.25">
      <c r="A35" t="str">
        <f>'Liste a câbles'!A35</f>
        <v>E11</v>
      </c>
      <c r="B35" t="str">
        <f>'Liste a câbles'!B35</f>
        <v>GL-B10</v>
      </c>
      <c r="C35">
        <f>VLOOKUP('Liste a câbles'!A35,'Liste a câbles'!B:N,13,FALSE)</f>
        <v>0.83</v>
      </c>
      <c r="E35" s="26">
        <f>IF('Liste a câbles'!$K35&lt;&gt;"",G35+(0.01851*('Liste a câbles'!$K35/'Liste a câbles'!$I35)*1000),"")</f>
        <v>138.82499999999999</v>
      </c>
      <c r="F35" s="26">
        <f>IF('Liste a câbles'!$K35&lt;&gt;"",H35+(0.08*'Liste a câbles'!$K35),"")</f>
        <v>40.799999999999997</v>
      </c>
      <c r="G35" s="26">
        <f>VLOOKUP($A35,$B:$F,4,FALSE)</f>
        <v>18.509999999999998</v>
      </c>
      <c r="H35" s="26">
        <f>VLOOKUP($A35,$B:$F,5,FALSE)</f>
        <v>35.599999999999994</v>
      </c>
      <c r="I35" s="26">
        <f t="shared" si="0"/>
        <v>144.69630480769021</v>
      </c>
      <c r="J35" s="26">
        <f>IF(E35&lt;&gt;"",(('Liste a câbles'!E35/SQRT(3))/'Annexe liste a câble'!I35),"")</f>
        <v>1.5960332088838283</v>
      </c>
    </row>
    <row r="36" spans="1:10" x14ac:dyDescent="0.25">
      <c r="A36" t="str">
        <f>'Liste a câbles'!A36</f>
        <v>TC5</v>
      </c>
      <c r="B36" t="str">
        <f>'Liste a câbles'!B36</f>
        <v>TC6</v>
      </c>
      <c r="C36">
        <f>VLOOKUP('Liste a câbles'!A36,'Liste a câbles'!B:N,13,FALSE)</f>
        <v>0.94</v>
      </c>
      <c r="E36" s="26">
        <f>IF('Liste a câbles'!$K36&lt;&gt;"",G36+(0.01851*('Liste a câbles'!$K36/'Liste a câbles'!$I36)*1000),"")</f>
        <v>351.68999999999994</v>
      </c>
      <c r="F36" s="26">
        <f>IF('Liste a câbles'!$K36&lt;&gt;"",H36+(0.08*'Liste a câbles'!$K36),"")</f>
        <v>41.599999999999994</v>
      </c>
      <c r="G36" s="26">
        <f>VLOOKUP($A36,$B:$F,4,FALSE)</f>
        <v>27.764999999999997</v>
      </c>
      <c r="H36" s="26">
        <f>VLOOKUP($A36,$B:$F,5,FALSE)</f>
        <v>35.999999999999993</v>
      </c>
      <c r="I36" s="26">
        <f t="shared" si="0"/>
        <v>354.1418022487602</v>
      </c>
      <c r="J36" s="26">
        <f>IF(E36&lt;&gt;"",(('Liste a câbles'!E36/SQRT(3))/'Annexe liste a câble'!I36),"")</f>
        <v>0.65211196817039641</v>
      </c>
    </row>
    <row r="37" spans="1:10" x14ac:dyDescent="0.25">
      <c r="A37" t="str">
        <f>'Liste a câbles'!A37</f>
        <v>E11</v>
      </c>
      <c r="B37" t="str">
        <f>'Liste a câbles'!B37</f>
        <v>GL-C4</v>
      </c>
      <c r="C37">
        <f>VLOOKUP('Liste a câbles'!A37,'Liste a câbles'!B:N,13,FALSE)</f>
        <v>0.83</v>
      </c>
      <c r="E37" s="26">
        <f>IF('Liste a câbles'!$K37&lt;&gt;"",G37+(0.01851*('Liste a câbles'!$K37/'Liste a câbles'!$I37)*1000),"")</f>
        <v>148.07999999999998</v>
      </c>
      <c r="F37" s="26">
        <f>IF('Liste a câbles'!$K37&lt;&gt;"",H37+(0.08*'Liste a câbles'!$K37),"")</f>
        <v>41.199999999999996</v>
      </c>
      <c r="G37" s="26">
        <f>VLOOKUP($A37,$B:$F,4,FALSE)</f>
        <v>18.509999999999998</v>
      </c>
      <c r="H37" s="26">
        <f>VLOOKUP($A37,$B:$F,5,FALSE)</f>
        <v>35.599999999999994</v>
      </c>
      <c r="I37" s="26">
        <f t="shared" ref="I37:I69" si="2">IF(E37&lt;&gt;"",SQRT(POWER(E37,2)+(POWER(F37,2))),"")</f>
        <v>153.70467266807472</v>
      </c>
      <c r="J37" s="26">
        <f>IF(E37&lt;&gt;"",(('Liste a câbles'!E37/SQRT(3))/'Annexe liste a câble'!I37),"")</f>
        <v>1.5024924334900707</v>
      </c>
    </row>
    <row r="38" spans="1:10" x14ac:dyDescent="0.25">
      <c r="A38" t="str">
        <f>'Liste a câbles'!A38</f>
        <v>E11</v>
      </c>
      <c r="B38" t="str">
        <f>'Liste a câbles'!B38</f>
        <v>GL-C5</v>
      </c>
      <c r="C38">
        <f>VLOOKUP('Liste a câbles'!A38,'Liste a câbles'!B:N,13,FALSE)</f>
        <v>0.83</v>
      </c>
      <c r="E38" s="26">
        <f>IF('Liste a câbles'!$K38&lt;&gt;"",G38+(0.01851*('Liste a câbles'!$K38/'Liste a câbles'!$I38)*1000),"")</f>
        <v>166.58999999999997</v>
      </c>
      <c r="F38" s="26">
        <f>IF('Liste a câbles'!$K38&lt;&gt;"",H38+(0.08*'Liste a câbles'!$K38),"")</f>
        <v>41.999999999999993</v>
      </c>
      <c r="G38" s="26">
        <f>VLOOKUP($A38,$B:$F,4,FALSE)</f>
        <v>18.509999999999998</v>
      </c>
      <c r="H38" s="26">
        <f>VLOOKUP($A38,$B:$F,5,FALSE)</f>
        <v>35.599999999999994</v>
      </c>
      <c r="I38" s="26">
        <f t="shared" si="2"/>
        <v>171.80287570352249</v>
      </c>
      <c r="J38" s="26">
        <f>IF(E38&lt;&gt;"",(('Liste a câbles'!E38/SQRT(3))/'Annexe liste a câble'!I38),"")</f>
        <v>1.3442156118176976</v>
      </c>
    </row>
    <row r="39" spans="1:10" x14ac:dyDescent="0.25">
      <c r="A39" t="str">
        <f>'Liste a câbles'!A39</f>
        <v>E11</v>
      </c>
      <c r="B39" t="str">
        <f>'Liste a câbles'!B39</f>
        <v>GL-C3</v>
      </c>
      <c r="C39">
        <f>VLOOKUP('Liste a câbles'!A39,'Liste a câbles'!B:N,13,FALSE)</f>
        <v>0.83</v>
      </c>
      <c r="E39" s="26">
        <f>IF('Liste a câbles'!$K39&lt;&gt;"",G39+(0.01851*('Liste a câbles'!$K39/'Liste a câbles'!$I39)*1000),"")</f>
        <v>111.06</v>
      </c>
      <c r="F39" s="26">
        <f>IF('Liste a câbles'!$K39&lt;&gt;"",H39+(0.08*'Liste a câbles'!$K39),"")</f>
        <v>39.599999999999994</v>
      </c>
      <c r="G39" s="26">
        <f>VLOOKUP($A39,$B:$F,4,FALSE)</f>
        <v>18.509999999999998</v>
      </c>
      <c r="H39" s="26">
        <f>VLOOKUP($A39,$B:$F,5,FALSE)</f>
        <v>35.599999999999994</v>
      </c>
      <c r="I39" s="26">
        <f t="shared" si="2"/>
        <v>117.90879356519598</v>
      </c>
      <c r="J39" s="26">
        <f>IF(E39&lt;&gt;"",(('Liste a câbles'!E39/SQRT(3))/'Annexe liste a câble'!I39),"")</f>
        <v>1.9586334546638822</v>
      </c>
    </row>
    <row r="40" spans="1:10" x14ac:dyDescent="0.25">
      <c r="A40" t="str">
        <f>'Liste a câbles'!A40</f>
        <v>E11</v>
      </c>
      <c r="B40" t="str">
        <f>'Liste a câbles'!B40</f>
        <v>GL-C2</v>
      </c>
      <c r="C40">
        <f>VLOOKUP('Liste a câbles'!A40,'Liste a câbles'!B:N,13,FALSE)</f>
        <v>0.83</v>
      </c>
      <c r="E40" s="26">
        <f>IF('Liste a câbles'!$K40&lt;&gt;"",G40+(0.01851*('Liste a câbles'!$K40/'Liste a câbles'!$I40)*1000),"")</f>
        <v>74.039999999999992</v>
      </c>
      <c r="F40" s="26">
        <f>IF('Liste a câbles'!$K40&lt;&gt;"",H40+(0.08*'Liste a câbles'!$K40),"")</f>
        <v>37.999999999999993</v>
      </c>
      <c r="G40" s="26">
        <f>VLOOKUP($A40,$B:$F,4,FALSE)</f>
        <v>18.509999999999998</v>
      </c>
      <c r="H40" s="26">
        <f>VLOOKUP($A40,$B:$F,5,FALSE)</f>
        <v>35.599999999999994</v>
      </c>
      <c r="I40" s="26">
        <f t="shared" si="2"/>
        <v>83.222122058981398</v>
      </c>
      <c r="J40" s="26">
        <f>IF(E40&lt;&gt;"",(('Liste a câbles'!E40/SQRT(3))/'Annexe liste a câble'!I40),"")</f>
        <v>2.7749846070036264</v>
      </c>
    </row>
    <row r="41" spans="1:10" x14ac:dyDescent="0.25">
      <c r="A41" t="str">
        <f>'Liste a câbles'!A41</f>
        <v>E11</v>
      </c>
      <c r="B41" t="str">
        <f>'Liste a câbles'!B41</f>
        <v>GL-B2</v>
      </c>
      <c r="C41">
        <f>VLOOKUP('Liste a câbles'!A41,'Liste a câbles'!B:N,13,FALSE)</f>
        <v>0.83</v>
      </c>
      <c r="E41" s="26">
        <f>IF('Liste a câbles'!$K41&lt;&gt;"",G41+(0.01851*('Liste a câbles'!$K41/'Liste a câbles'!$I41)*1000),"")</f>
        <v>92.549999999999983</v>
      </c>
      <c r="F41" s="26">
        <f>IF('Liste a câbles'!$K41&lt;&gt;"",H41+(0.08*'Liste a câbles'!$K41),"")</f>
        <v>38.799999999999997</v>
      </c>
      <c r="G41" s="26">
        <f>VLOOKUP($A41,$B:$F,4,FALSE)</f>
        <v>18.509999999999998</v>
      </c>
      <c r="H41" s="26">
        <f>VLOOKUP($A41,$B:$F,5,FALSE)</f>
        <v>35.599999999999994</v>
      </c>
      <c r="I41" s="26">
        <f t="shared" si="2"/>
        <v>100.35408561687959</v>
      </c>
      <c r="J41" s="26">
        <f>IF(E41&lt;&gt;"",(('Liste a câbles'!E41/SQRT(3))/'Annexe liste a câble'!I41),"")</f>
        <v>2.3012526720387569</v>
      </c>
    </row>
    <row r="42" spans="1:10" x14ac:dyDescent="0.25">
      <c r="A42" t="str">
        <f>'Liste a câbles'!A42</f>
        <v>E11</v>
      </c>
      <c r="B42" t="str">
        <f>'Liste a câbles'!B42</f>
        <v>GL-B6</v>
      </c>
      <c r="C42">
        <f>VLOOKUP('Liste a câbles'!A42,'Liste a câbles'!B:N,13,FALSE)</f>
        <v>0.83</v>
      </c>
      <c r="E42" s="26" t="str">
        <f>IF('Liste a câbles'!$K42&lt;&gt;"",G42+(0.01851*('Liste a câbles'!$K42/'Liste a câbles'!$I42)*1000),"")</f>
        <v/>
      </c>
      <c r="F42" s="26" t="str">
        <f>IF('Liste a câbles'!$K42&lt;&gt;"",H42+(0.08*'Liste a câbles'!$K42),"")</f>
        <v/>
      </c>
      <c r="G42" s="26">
        <f>VLOOKUP($A42,$B:$F,4,FALSE)</f>
        <v>18.509999999999998</v>
      </c>
      <c r="H42" s="26">
        <f>VLOOKUP($A42,$B:$F,5,FALSE)</f>
        <v>35.599999999999994</v>
      </c>
      <c r="I42" s="26" t="str">
        <f t="shared" si="2"/>
        <v/>
      </c>
      <c r="J42" s="26" t="str">
        <f>IF(E42&lt;&gt;"",(('Liste a câbles'!E42/SQRT(3))/'Annexe liste a câble'!I42),"")</f>
        <v/>
      </c>
    </row>
    <row r="43" spans="1:10" x14ac:dyDescent="0.25">
      <c r="A43" t="str">
        <f>'Liste a câbles'!A43</f>
        <v>E11</v>
      </c>
      <c r="B43" t="str">
        <f>'Liste a câbles'!B43</f>
        <v>Reserve</v>
      </c>
      <c r="C43">
        <f>VLOOKUP('Liste a câbles'!A43,'Liste a câbles'!B:N,13,FALSE)</f>
        <v>0.83</v>
      </c>
      <c r="E43" s="26" t="str">
        <f>IF('Liste a câbles'!$K43&lt;&gt;"",G43+(0.01851*('Liste a câbles'!$K43/'Liste a câbles'!$I43)*1000),"")</f>
        <v/>
      </c>
      <c r="F43" s="26" t="str">
        <f>IF('Liste a câbles'!$K43&lt;&gt;"",H43+(0.08*'Liste a câbles'!$K43),"")</f>
        <v/>
      </c>
      <c r="G43" s="26">
        <f>VLOOKUP($A43,$B:$F,4,FALSE)</f>
        <v>18.509999999999998</v>
      </c>
      <c r="H43" s="26">
        <f>VLOOKUP($A43,$B:$F,5,FALSE)</f>
        <v>35.599999999999994</v>
      </c>
      <c r="I43" s="26" t="str">
        <f t="shared" si="2"/>
        <v/>
      </c>
      <c r="J43" s="26" t="str">
        <f>IF(E43&lt;&gt;"",(('Liste a câbles'!E43/SQRT(3))/'Annexe liste a câble'!I43),"")</f>
        <v/>
      </c>
    </row>
    <row r="44" spans="1:10" x14ac:dyDescent="0.25">
      <c r="A44" t="str">
        <f>'Liste a câbles'!A44</f>
        <v>E11</v>
      </c>
      <c r="B44" t="str">
        <f>'Liste a câbles'!B44</f>
        <v>GL-B7</v>
      </c>
      <c r="C44">
        <f>VLOOKUP('Liste a câbles'!A44,'Liste a câbles'!B:N,13,FALSE)</f>
        <v>0.83</v>
      </c>
      <c r="E44" s="26" t="str">
        <f>IF('Liste a câbles'!$K44&lt;&gt;"",G44+(0.01851*('Liste a câbles'!$K44/'Liste a câbles'!$I44)*1000),"")</f>
        <v/>
      </c>
      <c r="F44" s="26" t="str">
        <f>IF('Liste a câbles'!$K44&lt;&gt;"",H44+(0.08*'Liste a câbles'!$K44),"")</f>
        <v/>
      </c>
      <c r="G44" s="26">
        <f>VLOOKUP($A44,$B:$F,4,FALSE)</f>
        <v>18.509999999999998</v>
      </c>
      <c r="H44" s="26">
        <f>VLOOKUP($A44,$B:$F,5,FALSE)</f>
        <v>35.599999999999994</v>
      </c>
      <c r="I44" s="26" t="str">
        <f t="shared" si="2"/>
        <v/>
      </c>
      <c r="J44" s="26" t="str">
        <f>IF(E44&lt;&gt;"",(('Liste a câbles'!E44/SQRT(3))/'Annexe liste a câble'!I44),"")</f>
        <v/>
      </c>
    </row>
    <row r="45" spans="1:10" x14ac:dyDescent="0.25">
      <c r="A45" t="str">
        <f>'Liste a câbles'!A45</f>
        <v>E11</v>
      </c>
      <c r="B45" t="str">
        <f>'Liste a câbles'!B45</f>
        <v>GL-B8/B9</v>
      </c>
      <c r="C45">
        <f>VLOOKUP('Liste a câbles'!A45,'Liste a câbles'!B:N,13,FALSE)</f>
        <v>0.83</v>
      </c>
      <c r="E45" s="26" t="str">
        <f>IF('Liste a câbles'!$K45&lt;&gt;"",G45+(0.01851*('Liste a câbles'!$K45/'Liste a câbles'!$I45)*1000),"")</f>
        <v/>
      </c>
      <c r="F45" s="26" t="str">
        <f>IF('Liste a câbles'!$K45&lt;&gt;"",H45+(0.08*'Liste a câbles'!$K45),"")</f>
        <v/>
      </c>
      <c r="G45" s="26">
        <f>VLOOKUP($A45,$B:$F,4,FALSE)</f>
        <v>18.509999999999998</v>
      </c>
      <c r="H45" s="26">
        <f>VLOOKUP($A45,$B:$F,5,FALSE)</f>
        <v>35.599999999999994</v>
      </c>
      <c r="I45" s="26" t="str">
        <f t="shared" si="2"/>
        <v/>
      </c>
      <c r="J45" s="26" t="str">
        <f>IF(E45&lt;&gt;"",(('Liste a câbles'!E45/SQRT(3))/'Annexe liste a câble'!I45),"")</f>
        <v/>
      </c>
    </row>
    <row r="46" spans="1:10" x14ac:dyDescent="0.25">
      <c r="A46" t="str">
        <f>'Liste a câbles'!A46</f>
        <v>E11</v>
      </c>
      <c r="B46" t="str">
        <f>'Liste a câbles'!B46</f>
        <v>TC5</v>
      </c>
      <c r="C46">
        <f>VLOOKUP('Liste a câbles'!A46,'Liste a câbles'!B:N,13,FALSE)</f>
        <v>0.83</v>
      </c>
      <c r="E46" s="26">
        <f>IF('Liste a câbles'!$K46&lt;&gt;"",G46+(0.01851*('Liste a câbles'!$K46/'Liste a câbles'!$I46)*1000),"")</f>
        <v>27.764999999999997</v>
      </c>
      <c r="F46" s="26">
        <f>IF('Liste a câbles'!$K46&lt;&gt;"",H46+(0.08*'Liste a câbles'!$K46),"")</f>
        <v>35.999999999999993</v>
      </c>
      <c r="G46" s="26">
        <f>VLOOKUP($A46,$B:$F,4,FALSE)</f>
        <v>18.509999999999998</v>
      </c>
      <c r="H46" s="26">
        <f>VLOOKUP($A46,$B:$F,5,FALSE)</f>
        <v>35.599999999999994</v>
      </c>
      <c r="I46" s="26">
        <f t="shared" si="2"/>
        <v>45.463119393635971</v>
      </c>
      <c r="J46" s="26">
        <f>IF(E46&lt;&gt;"",(('Liste a câbles'!E46/SQRT(3))/'Annexe liste a câble'!I46),"")</f>
        <v>5.0797241974596634</v>
      </c>
    </row>
    <row r="47" spans="1:10" x14ac:dyDescent="0.25">
      <c r="A47" t="str">
        <f>'Liste a câbles'!A47</f>
        <v>E11</v>
      </c>
      <c r="B47" t="str">
        <f>'Liste a câbles'!B47</f>
        <v>TC7</v>
      </c>
      <c r="C47">
        <f>VLOOKUP('Liste a câbles'!A47,'Liste a câbles'!B:N,13,FALSE)</f>
        <v>0.83</v>
      </c>
      <c r="E47" s="26">
        <f>IF('Liste a câbles'!$K47&lt;&gt;"",G47+(0.01851*('Liste a câbles'!$K47/'Liste a câbles'!$I47)*1000),"")</f>
        <v>46.274999999999991</v>
      </c>
      <c r="F47" s="26">
        <f>IF('Liste a câbles'!$K47&lt;&gt;"",H47+(0.08*'Liste a câbles'!$K47),"")</f>
        <v>36.799999999999997</v>
      </c>
      <c r="G47" s="26">
        <f>VLOOKUP($A47,$B:$F,4,FALSE)</f>
        <v>18.509999999999998</v>
      </c>
      <c r="H47" s="26">
        <f>VLOOKUP($A47,$B:$F,5,FALSE)</f>
        <v>35.599999999999994</v>
      </c>
      <c r="I47" s="26">
        <f t="shared" si="2"/>
        <v>59.123731487449263</v>
      </c>
      <c r="J47" s="26">
        <f>IF(E47&lt;&gt;"",(('Liste a câbles'!E47/SQRT(3))/'Annexe liste a câble'!I47),"")</f>
        <v>3.9060475694920256</v>
      </c>
    </row>
    <row r="48" spans="1:10" x14ac:dyDescent="0.25">
      <c r="A48" t="str">
        <f>'Liste a câbles'!A48</f>
        <v>E11</v>
      </c>
      <c r="B48" t="str">
        <f>'Liste a câbles'!B48</f>
        <v>GL-B1</v>
      </c>
      <c r="C48">
        <f>VLOOKUP('Liste a câbles'!A48,'Liste a câbles'!B:N,13,FALSE)</f>
        <v>0.83</v>
      </c>
      <c r="E48" s="26" t="str">
        <f>IF('Liste a câbles'!$K48&lt;&gt;"",G48+(0.01851*('Liste a câbles'!$K48/'Liste a câbles'!$I48)*1000),"")</f>
        <v/>
      </c>
      <c r="F48" s="26" t="str">
        <f>IF('Liste a câbles'!$K48&lt;&gt;"",H48+(0.08*'Liste a câbles'!$K48),"")</f>
        <v/>
      </c>
      <c r="G48" s="26">
        <f>VLOOKUP($A48,$B:$F,4,FALSE)</f>
        <v>18.509999999999998</v>
      </c>
      <c r="H48" s="26">
        <f>VLOOKUP($A48,$B:$F,5,FALSE)</f>
        <v>35.599999999999994</v>
      </c>
      <c r="I48" s="26" t="str">
        <f t="shared" si="2"/>
        <v/>
      </c>
      <c r="J48" s="26" t="str">
        <f>IF(E48&lt;&gt;"",(('Liste a câbles'!E48/SQRT(3))/'Annexe liste a câble'!I48),"")</f>
        <v/>
      </c>
    </row>
    <row r="49" spans="1:10" x14ac:dyDescent="0.25">
      <c r="A49" t="str">
        <f>'Liste a câbles'!A49</f>
        <v>E11</v>
      </c>
      <c r="B49" t="str">
        <f>'Liste a câbles'!B49</f>
        <v>GL-C1</v>
      </c>
      <c r="C49">
        <f>VLOOKUP('Liste a câbles'!A49,'Liste a câbles'!B:N,13,FALSE)</f>
        <v>0.83</v>
      </c>
      <c r="E49" s="26" t="str">
        <f>IF('Liste a câbles'!$K49&lt;&gt;"",G49+(0.01851*('Liste a câbles'!$K49/'Liste a câbles'!$I49)*1000),"")</f>
        <v/>
      </c>
      <c r="F49" s="26" t="str">
        <f>IF('Liste a câbles'!$K49&lt;&gt;"",H49+(0.08*'Liste a câbles'!$K49),"")</f>
        <v/>
      </c>
      <c r="G49" s="26">
        <f>VLOOKUP($A49,$B:$F,4,FALSE)</f>
        <v>18.509999999999998</v>
      </c>
      <c r="H49" s="26">
        <f>VLOOKUP($A49,$B:$F,5,FALSE)</f>
        <v>35.599999999999994</v>
      </c>
      <c r="I49" s="26" t="str">
        <f t="shared" si="2"/>
        <v/>
      </c>
      <c r="J49" s="26" t="str">
        <f>IF(E49&lt;&gt;"",(('Liste a câbles'!E49/SQRT(3))/'Annexe liste a câble'!I49),"")</f>
        <v/>
      </c>
    </row>
    <row r="50" spans="1:10" x14ac:dyDescent="0.25">
      <c r="A50" t="str">
        <f>'Liste a câbles'!A50</f>
        <v>E21</v>
      </c>
      <c r="B50" t="str">
        <f>'Liste a câbles'!B50</f>
        <v>GR-F1</v>
      </c>
      <c r="C50">
        <f>VLOOKUP('Liste a câbles'!A50,'Liste a câbles'!B:N,13,FALSE)</f>
        <v>1.54</v>
      </c>
      <c r="E50" s="26">
        <f>IF('Liste a câbles'!$K50&lt;&gt;"",G50+(0.01851*('Liste a câbles'!$K50/'Liste a câbles'!$I50)*1000),"")</f>
        <v>70.337999999999994</v>
      </c>
      <c r="F50" s="26">
        <f>IF('Liste a câbles'!$K50&lt;&gt;"",H50+(0.08*'Liste a câbles'!$K50),"")</f>
        <v>31.92</v>
      </c>
      <c r="G50" s="26">
        <f>VLOOKUP($A50,$B:$F,4,FALSE)</f>
        <v>37.019999999999996</v>
      </c>
      <c r="H50" s="26">
        <f>VLOOKUP($A50,$B:$F,5,FALSE)</f>
        <v>28.32</v>
      </c>
      <c r="I50" s="26">
        <f t="shared" si="2"/>
        <v>77.241961678869856</v>
      </c>
      <c r="J50" s="26">
        <f>IF(E50&lt;&gt;"",(('Liste a câbles'!E50/SQRT(3))/'Annexe liste a câble'!I50),"")</f>
        <v>2.9898270662256601</v>
      </c>
    </row>
    <row r="51" spans="1:10" x14ac:dyDescent="0.25">
      <c r="A51" t="str">
        <f>'Liste a câbles'!A51</f>
        <v>E21</v>
      </c>
      <c r="B51" t="str">
        <f>'Liste a câbles'!B51</f>
        <v>GR-G1</v>
      </c>
      <c r="C51">
        <f>VLOOKUP('Liste a câbles'!A51,'Liste a câbles'!B:N,13,FALSE)</f>
        <v>1.54</v>
      </c>
      <c r="E51" s="26" t="str">
        <f>IF('Liste a câbles'!$K51&lt;&gt;"",G51+(0.01851*('Liste a câbles'!$K51/'Liste a câbles'!$I51)*1000),"")</f>
        <v/>
      </c>
      <c r="F51" s="26" t="str">
        <f>IF('Liste a câbles'!$K51&lt;&gt;"",H51+(0.08*'Liste a câbles'!$K51),"")</f>
        <v/>
      </c>
      <c r="G51" s="26">
        <f>VLOOKUP($A51,$B:$F,4,FALSE)</f>
        <v>37.019999999999996</v>
      </c>
      <c r="H51" s="26">
        <f>VLOOKUP($A51,$B:$F,5,FALSE)</f>
        <v>28.32</v>
      </c>
      <c r="I51" s="26" t="str">
        <f t="shared" si="2"/>
        <v/>
      </c>
      <c r="J51" s="26" t="str">
        <f>IF(E51&lt;&gt;"",(('Liste a câbles'!E51/SQRT(3))/'Annexe liste a câble'!I51),"")</f>
        <v/>
      </c>
    </row>
    <row r="52" spans="1:10" x14ac:dyDescent="0.25">
      <c r="A52" t="str">
        <f>'Liste a câbles'!A52</f>
        <v>E21</v>
      </c>
      <c r="B52" t="str">
        <f>'Liste a câbles'!B52</f>
        <v>GR-H1</v>
      </c>
      <c r="C52">
        <f>VLOOKUP('Liste a câbles'!A52,'Liste a câbles'!B:N,13,FALSE)</f>
        <v>1.54</v>
      </c>
      <c r="E52" s="26" t="str">
        <f>IF('Liste a câbles'!$K52&lt;&gt;"",G52+(0.01851*('Liste a câbles'!$K52/'Liste a câbles'!$I52)*1000),"")</f>
        <v/>
      </c>
      <c r="F52" s="26" t="str">
        <f>IF('Liste a câbles'!$K52&lt;&gt;"",H52+(0.08*'Liste a câbles'!$K52),"")</f>
        <v/>
      </c>
      <c r="G52" s="26">
        <f>VLOOKUP($A52,$B:$F,4,FALSE)</f>
        <v>37.019999999999996</v>
      </c>
      <c r="H52" s="26">
        <f>VLOOKUP($A52,$B:$F,5,FALSE)</f>
        <v>28.32</v>
      </c>
      <c r="I52" s="26" t="str">
        <f t="shared" si="2"/>
        <v/>
      </c>
      <c r="J52" s="26" t="str">
        <f>IF(E52&lt;&gt;"",(('Liste a câbles'!E52/SQRT(3))/'Annexe liste a câble'!I52),"")</f>
        <v/>
      </c>
    </row>
    <row r="53" spans="1:10" x14ac:dyDescent="0.25">
      <c r="A53" t="str">
        <f>'Liste a câbles'!A53</f>
        <v>E21</v>
      </c>
      <c r="B53" t="str">
        <f>'Liste a câbles'!B53</f>
        <v>SOD</v>
      </c>
      <c r="C53">
        <f>VLOOKUP('Liste a câbles'!A53,'Liste a câbles'!B:N,13,FALSE)</f>
        <v>1.54</v>
      </c>
      <c r="E53" s="26" t="str">
        <f>IF('Liste a câbles'!$K53&lt;&gt;"",G53+(0.01851*('Liste a câbles'!$K53/'Liste a câbles'!$I53)*1000),"")</f>
        <v/>
      </c>
      <c r="F53" s="26" t="str">
        <f>IF('Liste a câbles'!$K53&lt;&gt;"",H53+(0.08*'Liste a câbles'!$K53),"")</f>
        <v/>
      </c>
      <c r="G53" s="26">
        <f>VLOOKUP($A53,$B:$F,4,FALSE)</f>
        <v>37.019999999999996</v>
      </c>
      <c r="H53" s="26">
        <f>VLOOKUP($A53,$B:$F,5,FALSE)</f>
        <v>28.32</v>
      </c>
      <c r="I53" s="26" t="str">
        <f t="shared" si="2"/>
        <v/>
      </c>
      <c r="J53" s="26" t="str">
        <f>IF(E53&lt;&gt;"",(('Liste a câbles'!E53/SQRT(3))/'Annexe liste a câble'!I53),"")</f>
        <v/>
      </c>
    </row>
    <row r="54" spans="1:10" x14ac:dyDescent="0.25">
      <c r="A54" t="str">
        <f>'Liste a câbles'!A54</f>
        <v>E21</v>
      </c>
      <c r="B54" t="str">
        <f>'Liste a câbles'!B54</f>
        <v>GR-E1</v>
      </c>
      <c r="C54">
        <f>VLOOKUP('Liste a câbles'!A54,'Liste a câbles'!B:N,13,FALSE)</f>
        <v>1.54</v>
      </c>
      <c r="E54" s="26">
        <f>IF('Liste a câbles'!$K54&lt;&gt;"",G54+(0.01851*('Liste a câbles'!$K54/'Liste a câbles'!$I54)*1000),"")</f>
        <v>112.21687499999999</v>
      </c>
      <c r="F54" s="26">
        <f>IF('Liste a câbles'!$K54&lt;&gt;"",H54+(0.08*'Liste a câbles'!$K54),"")</f>
        <v>33.520000000000003</v>
      </c>
      <c r="G54" s="26">
        <f>VLOOKUP($A54,$B:$F,4,FALSE)</f>
        <v>37.019999999999996</v>
      </c>
      <c r="H54" s="26">
        <f>VLOOKUP($A54,$B:$F,5,FALSE)</f>
        <v>28.32</v>
      </c>
      <c r="I54" s="26">
        <f t="shared" si="2"/>
        <v>117.11625606535424</v>
      </c>
      <c r="J54" s="26">
        <f>IF(E54&lt;&gt;"",(('Liste a câbles'!E54/SQRT(3))/'Annexe liste a câble'!I54),"")</f>
        <v>1.9718877245100723</v>
      </c>
    </row>
    <row r="55" spans="1:10" x14ac:dyDescent="0.25">
      <c r="A55" t="str">
        <f>'Liste a câbles'!A55</f>
        <v>E21</v>
      </c>
      <c r="B55" t="str">
        <f>'Liste a câbles'!B55</f>
        <v>TC2</v>
      </c>
      <c r="C55">
        <f>VLOOKUP('Liste a câbles'!A55,'Liste a câbles'!B:N,13,FALSE)</f>
        <v>1.54</v>
      </c>
      <c r="E55" s="26">
        <f>IF('Liste a câbles'!$K55&lt;&gt;"",G55+(0.01851*('Liste a câbles'!$K55/'Liste a câbles'!$I55)*1000),"")</f>
        <v>46.274999999999991</v>
      </c>
      <c r="F55" s="26">
        <f>IF('Liste a câbles'!$K55&lt;&gt;"",H55+(0.08*'Liste a câbles'!$K55),"")</f>
        <v>28.72</v>
      </c>
      <c r="G55" s="26">
        <f>VLOOKUP($A55,$B:$F,4,FALSE)</f>
        <v>37.019999999999996</v>
      </c>
      <c r="H55" s="26">
        <f>VLOOKUP($A55,$B:$F,5,FALSE)</f>
        <v>28.32</v>
      </c>
      <c r="I55" s="26">
        <f t="shared" ref="I55" si="3">IF(E55&lt;&gt;"",SQRT(POWER(E55,2)+(POWER(F55,2))),"")</f>
        <v>54.462960119699694</v>
      </c>
      <c r="J55" s="26">
        <f>IF(E55&lt;&gt;"",(('Liste a câbles'!E55/SQRT(3))/'Annexe liste a câble'!I55),"")</f>
        <v>4.2403150171838977</v>
      </c>
    </row>
    <row r="56" spans="1:10" x14ac:dyDescent="0.25">
      <c r="A56" t="str">
        <f>'Liste a câbles'!A56</f>
        <v>E22</v>
      </c>
      <c r="B56" t="str">
        <f>'Liste a câbles'!B56</f>
        <v>RD-D2</v>
      </c>
      <c r="C56">
        <f>VLOOKUP('Liste a câbles'!A56,'Liste a câbles'!B:N,13,FALSE)</f>
        <v>1.26</v>
      </c>
      <c r="E56" s="26" t="str">
        <f>IF('Liste a câbles'!$K56&lt;&gt;"",G56+(0.01851*('Liste a câbles'!$K56/'Liste a câbles'!$I56)*1000),"")</f>
        <v/>
      </c>
      <c r="F56" s="26" t="str">
        <f>IF('Liste a câbles'!$K56&lt;&gt;"",H56+(0.08*'Liste a câbles'!$K56),"")</f>
        <v/>
      </c>
      <c r="G56" s="26">
        <f>VLOOKUP($A56,$B:$F,4,FALSE)</f>
        <v>55.529999999999994</v>
      </c>
      <c r="H56" s="26">
        <f>VLOOKUP($A56,$B:$F,5,FALSE)</f>
        <v>22.72</v>
      </c>
      <c r="I56" s="26" t="str">
        <f t="shared" si="2"/>
        <v/>
      </c>
      <c r="J56" s="26" t="str">
        <f>IF(E56&lt;&gt;"",(('Liste a câbles'!E56/SQRT(3))/'Annexe liste a câble'!I56),"")</f>
        <v/>
      </c>
    </row>
    <row r="57" spans="1:10" x14ac:dyDescent="0.25">
      <c r="A57" t="str">
        <f>'Liste a câbles'!A57</f>
        <v>E22</v>
      </c>
      <c r="B57" t="str">
        <f>'Liste a câbles'!B57</f>
        <v>RD-C4</v>
      </c>
      <c r="C57">
        <f>VLOOKUP('Liste a câbles'!A57,'Liste a câbles'!B:N,13,FALSE)</f>
        <v>1.26</v>
      </c>
      <c r="E57" s="26" t="str">
        <f>IF('Liste a câbles'!$K57&lt;&gt;"",G57+(0.01851*('Liste a câbles'!$K57/'Liste a câbles'!$I57)*1000),"")</f>
        <v/>
      </c>
      <c r="F57" s="26" t="str">
        <f>IF('Liste a câbles'!$K57&lt;&gt;"",H57+(0.08*'Liste a câbles'!$K57),"")</f>
        <v/>
      </c>
      <c r="G57" s="26">
        <f>VLOOKUP($A57,$B:$F,4,FALSE)</f>
        <v>55.529999999999994</v>
      </c>
      <c r="H57" s="26">
        <f>VLOOKUP($A57,$B:$F,5,FALSE)</f>
        <v>22.72</v>
      </c>
      <c r="I57" s="26" t="str">
        <f t="shared" si="2"/>
        <v/>
      </c>
      <c r="J57" s="26" t="str">
        <f>IF(E57&lt;&gt;"",(('Liste a câbles'!E57/SQRT(3))/'Annexe liste a câble'!I57),"")</f>
        <v/>
      </c>
    </row>
    <row r="58" spans="1:10" x14ac:dyDescent="0.25">
      <c r="A58" t="str">
        <f>'Liste a câbles'!A58</f>
        <v>E22</v>
      </c>
      <c r="B58" t="str">
        <f>'Liste a câbles'!B58</f>
        <v>RD-C3</v>
      </c>
      <c r="C58">
        <f>VLOOKUP('Liste a câbles'!A58,'Liste a câbles'!B:N,13,FALSE)</f>
        <v>1.26</v>
      </c>
      <c r="E58" s="26">
        <f>IF('Liste a câbles'!$K58&lt;&gt;"",G58+(0.01851*('Liste a câbles'!$K58/'Liste a câbles'!$I58)*1000),"")</f>
        <v>138.82499999999999</v>
      </c>
      <c r="F58" s="26">
        <f>IF('Liste a câbles'!$K58&lt;&gt;"",H58+(0.08*'Liste a câbles'!$K58),"")</f>
        <v>26.32</v>
      </c>
      <c r="G58" s="26">
        <f>VLOOKUP($A58,$B:$F,4,FALSE)</f>
        <v>55.529999999999994</v>
      </c>
      <c r="H58" s="26">
        <f>VLOOKUP($A58,$B:$F,5,FALSE)</f>
        <v>22.72</v>
      </c>
      <c r="I58" s="26">
        <f t="shared" si="2"/>
        <v>141.29799370479398</v>
      </c>
      <c r="J58" s="26">
        <f>IF(E58&lt;&gt;"",(('Liste a câbles'!E58/SQRT(3))/'Annexe liste a câble'!I58),"")</f>
        <v>1.6344188733375833</v>
      </c>
    </row>
    <row r="59" spans="1:10" x14ac:dyDescent="0.25">
      <c r="A59" t="str">
        <f>'Liste a câbles'!A59</f>
        <v>E22</v>
      </c>
      <c r="B59" t="str">
        <f>'Liste a câbles'!B59</f>
        <v>RD-D4</v>
      </c>
      <c r="C59">
        <f>VLOOKUP('Liste a câbles'!A59,'Liste a câbles'!B:N,13,FALSE)</f>
        <v>1.26</v>
      </c>
      <c r="E59" s="26" t="str">
        <f>IF('Liste a câbles'!$K59&lt;&gt;"",G59+(0.01851*('Liste a câbles'!$K59/'Liste a câbles'!$I59)*1000),"")</f>
        <v/>
      </c>
      <c r="F59" s="26" t="str">
        <f>IF('Liste a câbles'!$K59&lt;&gt;"",H59+(0.08*'Liste a câbles'!$K59),"")</f>
        <v/>
      </c>
      <c r="G59" s="26">
        <f>VLOOKUP($A59,$B:$F,4,FALSE)</f>
        <v>55.529999999999994</v>
      </c>
      <c r="H59" s="26">
        <f>VLOOKUP($A59,$B:$F,5,FALSE)</f>
        <v>22.72</v>
      </c>
      <c r="I59" s="26" t="str">
        <f t="shared" si="2"/>
        <v/>
      </c>
      <c r="J59" s="26" t="str">
        <f>IF(E59&lt;&gt;"",(('Liste a câbles'!E59/SQRT(3))/'Annexe liste a câble'!I59),"")</f>
        <v/>
      </c>
    </row>
    <row r="60" spans="1:10" x14ac:dyDescent="0.25">
      <c r="A60" t="str">
        <f>'Liste a câbles'!A60</f>
        <v>E22</v>
      </c>
      <c r="B60" t="str">
        <f>'Liste a câbles'!B60</f>
        <v>RD-B3</v>
      </c>
      <c r="C60">
        <f>VLOOKUP('Liste a câbles'!A60,'Liste a câbles'!B:N,13,FALSE)</f>
        <v>1.26</v>
      </c>
      <c r="E60" s="26" t="str">
        <f>IF('Liste a câbles'!$K60&lt;&gt;"",G60+(0.01851*('Liste a câbles'!$K60/'Liste a câbles'!$I60)*1000),"")</f>
        <v/>
      </c>
      <c r="F60" s="26" t="str">
        <f>IF('Liste a câbles'!$K60&lt;&gt;"",H60+(0.08*'Liste a câbles'!$K60),"")</f>
        <v/>
      </c>
      <c r="G60" s="26">
        <f>VLOOKUP($A60,$B:$F,4,FALSE)</f>
        <v>55.529999999999994</v>
      </c>
      <c r="H60" s="26">
        <f>VLOOKUP($A60,$B:$F,5,FALSE)</f>
        <v>22.72</v>
      </c>
      <c r="I60" s="26" t="str">
        <f t="shared" si="2"/>
        <v/>
      </c>
      <c r="J60" s="26" t="str">
        <f>IF(E60&lt;&gt;"",(('Liste a câbles'!E60/SQRT(3))/'Annexe liste a câble'!I60),"")</f>
        <v/>
      </c>
    </row>
    <row r="61" spans="1:10" x14ac:dyDescent="0.25">
      <c r="A61" t="str">
        <f>'Liste a câbles'!A61</f>
        <v>E22</v>
      </c>
      <c r="B61" t="str">
        <f>'Liste a câbles'!B61</f>
        <v>RD-B4</v>
      </c>
      <c r="C61">
        <f>VLOOKUP('Liste a câbles'!A61,'Liste a câbles'!B:N,13,FALSE)</f>
        <v>1.26</v>
      </c>
      <c r="E61" s="26" t="str">
        <f>IF('Liste a câbles'!$K61&lt;&gt;"",G61+(0.01851*('Liste a câbles'!$K61/'Liste a câbles'!$I61)*1000),"")</f>
        <v/>
      </c>
      <c r="F61" s="26" t="str">
        <f>IF('Liste a câbles'!$K61&lt;&gt;"",H61+(0.08*'Liste a câbles'!$K61),"")</f>
        <v/>
      </c>
      <c r="G61" s="26">
        <f>VLOOKUP($A61,$B:$F,4,FALSE)</f>
        <v>55.529999999999994</v>
      </c>
      <c r="H61" s="26">
        <f>VLOOKUP($A61,$B:$F,5,FALSE)</f>
        <v>22.72</v>
      </c>
      <c r="I61" s="26" t="str">
        <f t="shared" si="2"/>
        <v/>
      </c>
      <c r="J61" s="26" t="str">
        <f>IF(E61&lt;&gt;"",(('Liste a câbles'!E61/SQRT(3))/'Annexe liste a câble'!I61),"")</f>
        <v/>
      </c>
    </row>
    <row r="62" spans="1:10" x14ac:dyDescent="0.25">
      <c r="A62" t="str">
        <f>'Liste a câbles'!A62</f>
        <v>E22</v>
      </c>
      <c r="B62" t="str">
        <f>'Liste a câbles'!B62</f>
        <v>RD-C2</v>
      </c>
      <c r="C62">
        <f>VLOOKUP('Liste a câbles'!A62,'Liste a câbles'!B:N,13,FALSE)</f>
        <v>1.26</v>
      </c>
      <c r="E62" s="26">
        <f>IF('Liste a câbles'!$K62&lt;&gt;"",G62+(0.01851*('Liste a câbles'!$K62/'Liste a câbles'!$I62)*1000),"")</f>
        <v>111.05999999999999</v>
      </c>
      <c r="F62" s="26">
        <f>IF('Liste a câbles'!$K62&lt;&gt;"",H62+(0.08*'Liste a câbles'!$K62),"")</f>
        <v>25.119999999999997</v>
      </c>
      <c r="G62" s="26">
        <f>VLOOKUP($A62,$B:$F,4,FALSE)</f>
        <v>55.529999999999994</v>
      </c>
      <c r="H62" s="26">
        <f>VLOOKUP($A62,$B:$F,5,FALSE)</f>
        <v>22.72</v>
      </c>
      <c r="I62" s="26">
        <f t="shared" si="2"/>
        <v>113.86543812764256</v>
      </c>
      <c r="J62" s="26">
        <f>IF(E62&lt;&gt;"",(('Liste a câbles'!E62/SQRT(3))/'Annexe liste a câble'!I62),"")</f>
        <v>2.0281844207806734</v>
      </c>
    </row>
    <row r="63" spans="1:10" x14ac:dyDescent="0.25">
      <c r="A63" t="str">
        <f>'Liste a câbles'!A63</f>
        <v>E22</v>
      </c>
      <c r="B63" t="str">
        <f>'Liste a câbles'!B63</f>
        <v>RD-C1</v>
      </c>
      <c r="C63">
        <f>VLOOKUP('Liste a câbles'!A63,'Liste a câbles'!B:N,13,FALSE)</f>
        <v>1.26</v>
      </c>
      <c r="E63" s="26" t="str">
        <f>IF('Liste a câbles'!$K63&lt;&gt;"",G63+(0.01851*('Liste a câbles'!$K63/'Liste a câbles'!$I63)*1000),"")</f>
        <v/>
      </c>
      <c r="F63" s="26" t="str">
        <f>IF('Liste a câbles'!$K63&lt;&gt;"",H63+(0.08*'Liste a câbles'!$K63),"")</f>
        <v/>
      </c>
      <c r="G63" s="26">
        <f>VLOOKUP($A63,$B:$F,4,FALSE)</f>
        <v>55.529999999999994</v>
      </c>
      <c r="H63" s="26">
        <f>VLOOKUP($A63,$B:$F,5,FALSE)</f>
        <v>22.72</v>
      </c>
      <c r="I63" s="26" t="str">
        <f t="shared" si="2"/>
        <v/>
      </c>
      <c r="J63" s="26" t="str">
        <f>IF(E63&lt;&gt;"",(('Liste a câbles'!E63/SQRT(3))/'Annexe liste a câble'!I63),"")</f>
        <v/>
      </c>
    </row>
    <row r="64" spans="1:10" x14ac:dyDescent="0.25">
      <c r="A64" t="str">
        <f>'Liste a câbles'!A64</f>
        <v>E22</v>
      </c>
      <c r="B64" t="str">
        <f>'Liste a câbles'!B64</f>
        <v>RD-D1</v>
      </c>
      <c r="C64">
        <f>VLOOKUP('Liste a câbles'!A64,'Liste a câbles'!B:N,13,FALSE)</f>
        <v>1.26</v>
      </c>
      <c r="E64" s="26" t="str">
        <f>IF('Liste a câbles'!$K64&lt;&gt;"",G64+(0.01851*('Liste a câbles'!$K64/'Liste a câbles'!$I64)*1000),"")</f>
        <v/>
      </c>
      <c r="F64" s="26" t="str">
        <f>IF('Liste a câbles'!$K64&lt;&gt;"",H64+(0.08*'Liste a câbles'!$K64),"")</f>
        <v/>
      </c>
      <c r="G64" s="26">
        <f>VLOOKUP($A64,$B:$F,4,FALSE)</f>
        <v>55.529999999999994</v>
      </c>
      <c r="H64" s="26">
        <f>VLOOKUP($A64,$B:$F,5,FALSE)</f>
        <v>22.72</v>
      </c>
      <c r="I64" s="26" t="str">
        <f t="shared" si="2"/>
        <v/>
      </c>
      <c r="J64" s="26" t="str">
        <f>IF(E64&lt;&gt;"",(('Liste a câbles'!E64/SQRT(3))/'Annexe liste a câble'!I64),"")</f>
        <v/>
      </c>
    </row>
    <row r="65" spans="1:10" x14ac:dyDescent="0.25">
      <c r="A65" t="str">
        <f>'Liste a câbles'!A65</f>
        <v>E22</v>
      </c>
      <c r="B65" t="str">
        <f>'Liste a câbles'!B65</f>
        <v>RD-D1/D3</v>
      </c>
      <c r="C65">
        <f>VLOOKUP('Liste a câbles'!A65,'Liste a câbles'!B:N,13,FALSE)</f>
        <v>1.26</v>
      </c>
      <c r="E65" s="26" t="str">
        <f>IF('Liste a câbles'!$K65&lt;&gt;"",G65+(0.01851*('Liste a câbles'!$K65/'Liste a câbles'!$I65)*1000),"")</f>
        <v/>
      </c>
      <c r="F65" s="26" t="str">
        <f>IF('Liste a câbles'!$K65&lt;&gt;"",H65+(0.08*'Liste a câbles'!$K65),"")</f>
        <v/>
      </c>
      <c r="G65" s="26">
        <f>VLOOKUP($A65,$B:$F,4,FALSE)</f>
        <v>55.529999999999994</v>
      </c>
      <c r="H65" s="26">
        <f>VLOOKUP($A65,$B:$F,5,FALSE)</f>
        <v>22.72</v>
      </c>
      <c r="I65" s="26" t="str">
        <f t="shared" si="2"/>
        <v/>
      </c>
      <c r="J65" s="26" t="str">
        <f>IF(E65&lt;&gt;"",(('Liste a câbles'!E65/SQRT(3))/'Annexe liste a câble'!I65),"")</f>
        <v/>
      </c>
    </row>
    <row r="66" spans="1:10" x14ac:dyDescent="0.25">
      <c r="A66" t="str">
        <f>'Liste a câbles'!A66</f>
        <v>E22</v>
      </c>
      <c r="B66" t="str">
        <f>'Liste a câbles'!B66</f>
        <v>RD-D3</v>
      </c>
      <c r="C66">
        <f>VLOOKUP('Liste a câbles'!A66,'Liste a câbles'!B:N,13,FALSE)</f>
        <v>1.26</v>
      </c>
      <c r="E66" s="26" t="str">
        <f>IF('Liste a câbles'!$K66&lt;&gt;"",G66+(0.01851*('Liste a câbles'!$K66/'Liste a câbles'!$I66)*1000),"")</f>
        <v/>
      </c>
      <c r="F66" s="26" t="str">
        <f>IF('Liste a câbles'!$K66&lt;&gt;"",H66+(0.08*'Liste a câbles'!$K66),"")</f>
        <v/>
      </c>
      <c r="G66" s="26">
        <f>VLOOKUP($A66,$B:$F,4,FALSE)</f>
        <v>55.529999999999994</v>
      </c>
      <c r="H66" s="26">
        <f>VLOOKUP($A66,$B:$F,5,FALSE)</f>
        <v>22.72</v>
      </c>
      <c r="I66" s="26" t="str">
        <f t="shared" si="2"/>
        <v/>
      </c>
      <c r="J66" s="26" t="str">
        <f>IF(E66&lt;&gt;"",(('Liste a câbles'!E66/SQRT(3))/'Annexe liste a câble'!I66),"")</f>
        <v/>
      </c>
    </row>
    <row r="67" spans="1:10" x14ac:dyDescent="0.25">
      <c r="A67" t="str">
        <f>'Liste a câbles'!A67</f>
        <v>E23</v>
      </c>
      <c r="B67" t="str">
        <f>'Liste a câbles'!B67</f>
        <v>RD-A2</v>
      </c>
      <c r="C67">
        <f>VLOOKUP('Liste a câbles'!A67,'Liste a câbles'!B:N,13,FALSE)</f>
        <v>0.93</v>
      </c>
      <c r="E67" s="26">
        <f>IF('Liste a câbles'!$K67&lt;&gt;"",G67+(0.01851*('Liste a câbles'!$K67/'Liste a câbles'!$I67)*1000),"")</f>
        <v>37.019999999999996</v>
      </c>
      <c r="F67" s="26">
        <f>IF('Liste a câbles'!$K67&lt;&gt;"",H67+(0.08*'Liste a câbles'!$K67),"")</f>
        <v>25.12</v>
      </c>
      <c r="G67" s="26">
        <f>VLOOKUP($A67,$B:$F,4,FALSE)</f>
        <v>18.509999999999998</v>
      </c>
      <c r="H67" s="26">
        <f>VLOOKUP($A67,$B:$F,5,FALSE)</f>
        <v>24.32</v>
      </c>
      <c r="I67" s="26">
        <f t="shared" si="2"/>
        <v>44.738068800519315</v>
      </c>
      <c r="J67" s="26">
        <f>IF(E67&lt;&gt;"",(('Liste a câbles'!E67/SQRT(3))/'Annexe liste a câble'!I67),"")</f>
        <v>5.1620490975052906</v>
      </c>
    </row>
    <row r="68" spans="1:10" x14ac:dyDescent="0.25">
      <c r="A68" t="str">
        <f>'Liste a câbles'!A68</f>
        <v>E23</v>
      </c>
      <c r="B68" t="str">
        <f>'Liste a câbles'!B68</f>
        <v>RD-A4</v>
      </c>
      <c r="C68">
        <f>VLOOKUP('Liste a câbles'!A68,'Liste a câbles'!B:N,13,FALSE)</f>
        <v>0.93</v>
      </c>
      <c r="E68" s="26">
        <f>IF('Liste a câbles'!$K68&lt;&gt;"",G68+(0.01851*('Liste a câbles'!$K68/'Liste a câbles'!$I68)*1000),"")</f>
        <v>37.019999999999996</v>
      </c>
      <c r="F68" s="26">
        <f>IF('Liste a câbles'!$K68&lt;&gt;"",H68+(0.08*'Liste a câbles'!$K68),"")</f>
        <v>25.12</v>
      </c>
      <c r="G68" s="26">
        <f>VLOOKUP($A68,$B:$F,4,FALSE)</f>
        <v>18.509999999999998</v>
      </c>
      <c r="H68" s="26">
        <f>VLOOKUP($A68,$B:$F,5,FALSE)</f>
        <v>24.32</v>
      </c>
      <c r="I68" s="26">
        <f t="shared" si="2"/>
        <v>44.738068800519315</v>
      </c>
      <c r="J68" s="26">
        <f>IF(E68&lt;&gt;"",(('Liste a câbles'!E68/SQRT(3))/'Annexe liste a câble'!I68),"")</f>
        <v>5.1620490975052906</v>
      </c>
    </row>
    <row r="69" spans="1:10" x14ac:dyDescent="0.25">
      <c r="A69" t="str">
        <f>'Liste a câbles'!A69</f>
        <v>E23</v>
      </c>
      <c r="B69" t="str">
        <f>'Liste a câbles'!B69</f>
        <v>RD-A5</v>
      </c>
      <c r="C69">
        <f>VLOOKUP('Liste a câbles'!A69,'Liste a câbles'!B:N,13,FALSE)</f>
        <v>0.93</v>
      </c>
      <c r="E69" s="26">
        <f>IF('Liste a câbles'!$K69&lt;&gt;"",G69+(0.01851*('Liste a câbles'!$K69/'Liste a câbles'!$I69)*1000),"")</f>
        <v>37.019999999999996</v>
      </c>
      <c r="F69" s="26">
        <f>IF('Liste a câbles'!$K69&lt;&gt;"",H69+(0.08*'Liste a câbles'!$K69),"")</f>
        <v>25.12</v>
      </c>
      <c r="G69" s="26">
        <f>VLOOKUP($A69,$B:$F,4,FALSE)</f>
        <v>18.509999999999998</v>
      </c>
      <c r="H69" s="26">
        <f>VLOOKUP($A69,$B:$F,5,FALSE)</f>
        <v>24.32</v>
      </c>
      <c r="I69" s="26">
        <f t="shared" si="2"/>
        <v>44.738068800519315</v>
      </c>
      <c r="J69" s="26">
        <f>IF(E69&lt;&gt;"",(('Liste a câbles'!E69/SQRT(3))/'Annexe liste a câble'!I69),"")</f>
        <v>5.1620490975052906</v>
      </c>
    </row>
    <row r="70" spans="1:10" x14ac:dyDescent="0.25">
      <c r="A70" t="str">
        <f>'Liste a câbles'!A70</f>
        <v>E23</v>
      </c>
      <c r="B70" t="str">
        <f>'Liste a câbles'!B70</f>
        <v>RD-A1 (reserve)</v>
      </c>
      <c r="C70">
        <f>VLOOKUP('Liste a câbles'!A70,'Liste a câbles'!B:N,13,FALSE)</f>
        <v>0.93</v>
      </c>
      <c r="E70" s="26" t="str">
        <f>IF('Liste a câbles'!$K70&lt;&gt;"",G70+(0.01851*('Liste a câbles'!$K70/'Liste a câbles'!$I70)*1000),"")</f>
        <v/>
      </c>
      <c r="F70" s="26" t="str">
        <f>IF('Liste a câbles'!$K70&lt;&gt;"",H70+(0.08*'Liste a câbles'!$K70),"")</f>
        <v/>
      </c>
      <c r="G70" s="26">
        <f>VLOOKUP($A70,$B:$F,4,FALSE)</f>
        <v>18.509999999999998</v>
      </c>
      <c r="H70" s="26">
        <f>VLOOKUP($A70,$B:$F,5,FALSE)</f>
        <v>24.32</v>
      </c>
      <c r="I70" s="26" t="str">
        <f t="shared" ref="I70:I92" si="4">IF(E70&lt;&gt;"",SQRT(POWER(E70,2)+(POWER(F70,2))),"")</f>
        <v/>
      </c>
      <c r="J70" s="26" t="str">
        <f>IF(E70&lt;&gt;"",(('Liste a câbles'!E70/SQRT(3))/'Annexe liste a câble'!I70),"")</f>
        <v/>
      </c>
    </row>
    <row r="71" spans="1:10" x14ac:dyDescent="0.25">
      <c r="A71" t="str">
        <f>'Liste a câbles'!A71</f>
        <v>E23</v>
      </c>
      <c r="B71" t="str">
        <f>'Liste a câbles'!B71</f>
        <v>TC3</v>
      </c>
      <c r="C71">
        <f>VLOOKUP('Liste a câbles'!A71,'Liste a câbles'!B:N,13,FALSE)</f>
        <v>0.93</v>
      </c>
      <c r="E71" s="26">
        <f>IF('Liste a câbles'!$K71&lt;&gt;"",G71+(0.01851*('Liste a câbles'!$K71/'Liste a câbles'!$I71)*1000),"")</f>
        <v>22.211999999999996</v>
      </c>
      <c r="F71" s="26">
        <f>IF('Liste a câbles'!$K71&lt;&gt;"",H71+(0.08*'Liste a câbles'!$K71),"")</f>
        <v>24.48</v>
      </c>
      <c r="G71" s="26">
        <f>VLOOKUP($A71,$B:$F,4,FALSE)</f>
        <v>18.509999999999998</v>
      </c>
      <c r="H71" s="26">
        <f>VLOOKUP($A71,$B:$F,5,FALSE)</f>
        <v>24.32</v>
      </c>
      <c r="I71" s="26">
        <f t="shared" si="4"/>
        <v>33.055156087969088</v>
      </c>
      <c r="J71" s="26">
        <f>IF(E71&lt;&gt;"",(('Liste a câbles'!E71/SQRT(3))/'Annexe liste a câble'!I71),"")</f>
        <v>6.9865078555748941</v>
      </c>
    </row>
    <row r="72" spans="1:10" x14ac:dyDescent="0.25">
      <c r="A72" t="str">
        <f>'Liste a câbles'!A72</f>
        <v>E24</v>
      </c>
      <c r="B72" t="str">
        <f>'Liste a câbles'!B72</f>
        <v>PR-A5</v>
      </c>
      <c r="C72">
        <f>VLOOKUP('Liste a câbles'!A72,'Liste a câbles'!B:N,13,FALSE)</f>
        <v>4.63</v>
      </c>
      <c r="E72" s="26" t="str">
        <f>IF('Liste a câbles'!$K72&lt;&gt;"",G72+(0.01851*('Liste a câbles'!$K72/'Liste a câbles'!$I72)*1000),"")</f>
        <v/>
      </c>
      <c r="F72" s="26" t="str">
        <f>IF('Liste a câbles'!$K72&lt;&gt;"",H72+(0.08*'Liste a câbles'!$K72),"")</f>
        <v/>
      </c>
      <c r="G72" s="26">
        <f>VLOOKUP($A72,$B:$F,4,FALSE)</f>
        <v>111.06</v>
      </c>
      <c r="H72" s="26">
        <f>VLOOKUP($A72,$B:$F,5,FALSE)</f>
        <v>30.72</v>
      </c>
      <c r="I72" s="26" t="str">
        <f t="shared" si="4"/>
        <v/>
      </c>
      <c r="J72" s="26" t="str">
        <f>IF(E72&lt;&gt;"",(('Liste a câbles'!E72/SQRT(3))/'Annexe liste a câble'!I72),"")</f>
        <v/>
      </c>
    </row>
    <row r="73" spans="1:10" x14ac:dyDescent="0.25">
      <c r="A73" t="str">
        <f>'Liste a câbles'!A73</f>
        <v>E24</v>
      </c>
      <c r="B73" t="str">
        <f>'Liste a câbles'!B73</f>
        <v>PR-A4</v>
      </c>
      <c r="C73">
        <f>VLOOKUP('Liste a câbles'!A73,'Liste a câbles'!B:N,13,FALSE)</f>
        <v>4.63</v>
      </c>
      <c r="E73" s="26" t="str">
        <f>IF('Liste a câbles'!$K73&lt;&gt;"",G73+(0.01851*('Liste a câbles'!$K73/'Liste a câbles'!$I73)*1000),"")</f>
        <v/>
      </c>
      <c r="F73" s="26" t="str">
        <f>IF('Liste a câbles'!$K73&lt;&gt;"",H73+(0.08*'Liste a câbles'!$K73),"")</f>
        <v/>
      </c>
      <c r="G73" s="26">
        <f>VLOOKUP($A73,$B:$F,4,FALSE)</f>
        <v>111.06</v>
      </c>
      <c r="H73" s="26">
        <f>VLOOKUP($A73,$B:$F,5,FALSE)</f>
        <v>30.72</v>
      </c>
      <c r="I73" s="26" t="str">
        <f t="shared" si="4"/>
        <v/>
      </c>
      <c r="J73" s="26" t="str">
        <f>IF(E73&lt;&gt;"",(('Liste a câbles'!E73/SQRT(3))/'Annexe liste a câble'!I73),"")</f>
        <v/>
      </c>
    </row>
    <row r="74" spans="1:10" x14ac:dyDescent="0.25">
      <c r="A74" t="str">
        <f>'Liste a câbles'!A74</f>
        <v>E24</v>
      </c>
      <c r="B74" t="str">
        <f>'Liste a câbles'!B74</f>
        <v>PR-A7</v>
      </c>
      <c r="C74">
        <f>VLOOKUP('Liste a câbles'!A74,'Liste a câbles'!B:N,13,FALSE)</f>
        <v>4.63</v>
      </c>
      <c r="E74" s="26" t="str">
        <f>IF('Liste a câbles'!$K74&lt;&gt;"",G74+(0.01851*('Liste a câbles'!$K74/'Liste a câbles'!$I74)*1000),"")</f>
        <v/>
      </c>
      <c r="F74" s="26" t="str">
        <f>IF('Liste a câbles'!$K74&lt;&gt;"",H74+(0.08*'Liste a câbles'!$K74),"")</f>
        <v/>
      </c>
      <c r="G74" s="26">
        <f>VLOOKUP($A74,$B:$F,4,FALSE)</f>
        <v>111.06</v>
      </c>
      <c r="H74" s="26">
        <f>VLOOKUP($A74,$B:$F,5,FALSE)</f>
        <v>30.72</v>
      </c>
      <c r="I74" s="26" t="str">
        <f t="shared" si="4"/>
        <v/>
      </c>
      <c r="J74" s="26" t="str">
        <f>IF(E74&lt;&gt;"",(('Liste a câbles'!E74/SQRT(3))/'Annexe liste a câble'!I74),"")</f>
        <v/>
      </c>
    </row>
    <row r="75" spans="1:10" x14ac:dyDescent="0.25">
      <c r="A75" t="str">
        <f>'Liste a câbles'!A75</f>
        <v>E25</v>
      </c>
      <c r="B75" t="str">
        <f>'Liste a câbles'!B75</f>
        <v>BL-A2</v>
      </c>
      <c r="C75">
        <f>VLOOKUP('Liste a câbles'!A75,'Liste a câbles'!B:N,13,FALSE)</f>
        <v>1.51</v>
      </c>
      <c r="E75" s="26" t="str">
        <f>IF('Liste a câbles'!$K75&lt;&gt;"",G75+(0.01851*('Liste a câbles'!$K75/'Liste a câbles'!$I75)*1000),"")</f>
        <v/>
      </c>
      <c r="F75" s="26" t="str">
        <f>IF('Liste a câbles'!$K75&lt;&gt;"",H75+(0.08*'Liste a câbles'!$K75),"")</f>
        <v/>
      </c>
      <c r="G75" s="26">
        <f>VLOOKUP($A75,$B:$F,4,FALSE)</f>
        <v>44.423999999999999</v>
      </c>
      <c r="H75" s="26">
        <f>VLOOKUP($A75,$B:$F,5,FALSE)</f>
        <v>25.12</v>
      </c>
      <c r="I75" s="26" t="str">
        <f t="shared" si="4"/>
        <v/>
      </c>
      <c r="J75" s="26" t="str">
        <f>IF(E75&lt;&gt;"",(('Liste a câbles'!E75/SQRT(3))/'Annexe liste a câble'!I75),"")</f>
        <v/>
      </c>
    </row>
    <row r="76" spans="1:10" x14ac:dyDescent="0.25">
      <c r="A76" t="str">
        <f>'Liste a câbles'!A76</f>
        <v>E25</v>
      </c>
      <c r="B76" t="str">
        <f>'Liste a câbles'!B76</f>
        <v>BL-A3</v>
      </c>
      <c r="C76">
        <f>VLOOKUP('Liste a câbles'!A76,'Liste a câbles'!B:N,13,FALSE)</f>
        <v>1.51</v>
      </c>
      <c r="E76" s="26" t="str">
        <f>IF('Liste a câbles'!$K76&lt;&gt;"",G76+(0.01851*('Liste a câbles'!$K76/'Liste a câbles'!$I76)*1000),"")</f>
        <v/>
      </c>
      <c r="F76" s="26" t="str">
        <f>IF('Liste a câbles'!$K76&lt;&gt;"",H76+(0.08*'Liste a câbles'!$K76),"")</f>
        <v/>
      </c>
      <c r="G76" s="26">
        <f>VLOOKUP($A76,$B:$F,4,FALSE)</f>
        <v>44.423999999999999</v>
      </c>
      <c r="H76" s="26">
        <f>VLOOKUP($A76,$B:$F,5,FALSE)</f>
        <v>25.12</v>
      </c>
      <c r="I76" s="26" t="str">
        <f t="shared" si="4"/>
        <v/>
      </c>
      <c r="J76" s="26" t="str">
        <f>IF(E76&lt;&gt;"",(('Liste a câbles'!E76/SQRT(3))/'Annexe liste a câble'!I76),"")</f>
        <v/>
      </c>
    </row>
    <row r="77" spans="1:10" x14ac:dyDescent="0.25">
      <c r="A77" t="str">
        <f>'Liste a câbles'!A77</f>
        <v>E26</v>
      </c>
      <c r="B77" t="str">
        <f>'Liste a câbles'!B77</f>
        <v>RD-D5</v>
      </c>
      <c r="C77">
        <f>VLOOKUP('Liste a câbles'!A77,'Liste a câbles'!B:N,13,FALSE)</f>
        <v>1.35</v>
      </c>
      <c r="E77" s="26">
        <f>IF('Liste a câbles'!$K77&lt;&gt;"",G77+(0.01851*('Liste a câbles'!$K77/'Liste a câbles'!$I77)*1000),"")</f>
        <v>78.006428571428572</v>
      </c>
      <c r="F77" s="26">
        <f>IF('Liste a câbles'!$K77&lt;&gt;"",H77+(0.08*'Liste a câbles'!$K77),"")</f>
        <v>28.32</v>
      </c>
      <c r="G77" s="26">
        <f>VLOOKUP($A77,$B:$F,4,FALSE)</f>
        <v>31.73142857142857</v>
      </c>
      <c r="H77" s="26">
        <f>VLOOKUP($A77,$B:$F,5,FALSE)</f>
        <v>26.32</v>
      </c>
      <c r="I77" s="26">
        <f t="shared" si="4"/>
        <v>82.988103355055586</v>
      </c>
      <c r="J77" s="26">
        <f>IF(E77&lt;&gt;"",(('Liste a câbles'!E77/SQRT(3))/'Annexe liste a câble'!I77),"")</f>
        <v>2.7828098045306344</v>
      </c>
    </row>
    <row r="78" spans="1:10" x14ac:dyDescent="0.25">
      <c r="A78" t="str">
        <f>'Liste a câbles'!A78</f>
        <v>E26</v>
      </c>
      <c r="B78" t="str">
        <f>'Liste a câbles'!B78</f>
        <v>TC4</v>
      </c>
      <c r="C78">
        <f>VLOOKUP('Liste a câbles'!A78,'Liste a câbles'!B:N,13,FALSE)</f>
        <v>1.35</v>
      </c>
      <c r="E78" s="26">
        <f>IF('Liste a câbles'!$K78&lt;&gt;"",G78+(0.01851*('Liste a câbles'!$K78/'Liste a câbles'!$I78)*1000),"")</f>
        <v>50.241428571428571</v>
      </c>
      <c r="F78" s="26">
        <f>IF('Liste a câbles'!$K78&lt;&gt;"",H78+(0.08*'Liste a câbles'!$K78),"")</f>
        <v>27.12</v>
      </c>
      <c r="G78" s="26">
        <f>VLOOKUP($A78,$B:$F,4,FALSE)</f>
        <v>31.73142857142857</v>
      </c>
      <c r="H78" s="26">
        <f>VLOOKUP($A78,$B:$F,5,FALSE)</f>
        <v>26.32</v>
      </c>
      <c r="I78" s="26">
        <f t="shared" si="4"/>
        <v>57.093743482959319</v>
      </c>
      <c r="J78" s="26">
        <f>IF(E78&lt;&gt;"",(('Liste a câbles'!E78/SQRT(3))/'Annexe liste a câble'!I78),"")</f>
        <v>4.0449284560361445</v>
      </c>
    </row>
    <row r="79" spans="1:10" x14ac:dyDescent="0.25">
      <c r="A79" t="str">
        <f>'Liste a câbles'!A79</f>
        <v>E26</v>
      </c>
      <c r="B79" t="str">
        <f>'Liste a câbles'!B79</f>
        <v>GL-C8</v>
      </c>
      <c r="C79">
        <f>VLOOKUP('Liste a câbles'!A79,'Liste a câbles'!B:N,13,FALSE)</f>
        <v>1.35</v>
      </c>
      <c r="E79" s="26">
        <f>IF('Liste a câbles'!$K79&lt;&gt;"",G79+(0.01851*('Liste a câbles'!$K79/'Liste a câbles'!$I79)*1000),"")</f>
        <v>87.261428571428567</v>
      </c>
      <c r="F79" s="26">
        <f>IF('Liste a câbles'!$K79&lt;&gt;"",H79+(0.08*'Liste a câbles'!$K79),"")</f>
        <v>28.72</v>
      </c>
      <c r="G79" s="26">
        <f>VLOOKUP($A79,$B:$F,4,FALSE)</f>
        <v>31.73142857142857</v>
      </c>
      <c r="H79" s="26">
        <f>VLOOKUP($A79,$B:$F,5,FALSE)</f>
        <v>26.32</v>
      </c>
      <c r="I79" s="26">
        <f t="shared" si="4"/>
        <v>91.866181570404521</v>
      </c>
      <c r="J79" s="26">
        <f>IF(E79&lt;&gt;"",(('Liste a câbles'!E79/SQRT(3))/'Annexe liste a câble'!I79),"")</f>
        <v>2.5138751140849602</v>
      </c>
    </row>
    <row r="80" spans="1:10" x14ac:dyDescent="0.25">
      <c r="A80" t="str">
        <f>'Liste a câbles'!A80</f>
        <v>E26</v>
      </c>
      <c r="B80" t="str">
        <f>'Liste a câbles'!B80</f>
        <v>RD-A6</v>
      </c>
      <c r="C80">
        <f>VLOOKUP('Liste a câbles'!A80,'Liste a câbles'!B:N,13,FALSE)</f>
        <v>1.35</v>
      </c>
      <c r="E80" s="26">
        <f>IF('Liste a câbles'!$K80&lt;&gt;"",G80+(0.01851*('Liste a câbles'!$K80/'Liste a câbles'!$I80)*1000),"")</f>
        <v>68.751428571428562</v>
      </c>
      <c r="F80" s="26">
        <f>IF('Liste a câbles'!$K80&lt;&gt;"",H80+(0.08*'Liste a câbles'!$K80),"")</f>
        <v>27.92</v>
      </c>
      <c r="G80" s="26">
        <f>VLOOKUP($A80,$B:$F,4,FALSE)</f>
        <v>31.73142857142857</v>
      </c>
      <c r="H80" s="26">
        <f>VLOOKUP($A80,$B:$F,5,FALSE)</f>
        <v>26.32</v>
      </c>
      <c r="I80" s="26">
        <f t="shared" si="4"/>
        <v>74.20434846161136</v>
      </c>
      <c r="J80" s="26">
        <f>IF(E80&lt;&gt;"",(('Liste a câbles'!E80/SQRT(3))/'Annexe liste a câble'!I80),"")</f>
        <v>3.1122179826876875</v>
      </c>
    </row>
    <row r="81" spans="1:10" x14ac:dyDescent="0.25">
      <c r="A81" t="str">
        <f>'Liste a câbles'!A81</f>
        <v>E26</v>
      </c>
      <c r="B81" t="str">
        <f>'Liste a câbles'!B81</f>
        <v>RD-A3</v>
      </c>
      <c r="C81">
        <f>VLOOKUP('Liste a câbles'!A81,'Liste a câbles'!B:N,13,FALSE)</f>
        <v>1.35</v>
      </c>
      <c r="E81" s="26">
        <f>IF('Liste a câbles'!$K81&lt;&gt;"",G81+(0.01851*('Liste a câbles'!$K81/'Liste a câbles'!$I81)*1000),"")</f>
        <v>87.261428571428567</v>
      </c>
      <c r="F81" s="26">
        <f>IF('Liste a câbles'!$K81&lt;&gt;"",H81+(0.08*'Liste a câbles'!$K81),"")</f>
        <v>28.72</v>
      </c>
      <c r="G81" s="26">
        <f>VLOOKUP($A81,$B:$F,4,FALSE)</f>
        <v>31.73142857142857</v>
      </c>
      <c r="H81" s="26">
        <f>VLOOKUP($A81,$B:$F,5,FALSE)</f>
        <v>26.32</v>
      </c>
      <c r="I81" s="26">
        <f t="shared" si="4"/>
        <v>91.866181570404521</v>
      </c>
      <c r="J81" s="26">
        <f>IF(E81&lt;&gt;"",(('Liste a câbles'!E81/SQRT(3))/'Annexe liste a câble'!I81),"")</f>
        <v>2.5138751140849602</v>
      </c>
    </row>
    <row r="82" spans="1:10" x14ac:dyDescent="0.25">
      <c r="A82" t="str">
        <f>'Liste a câbles'!A82</f>
        <v>E26</v>
      </c>
      <c r="B82" t="str">
        <f>'Liste a câbles'!B82</f>
        <v>GL-C7</v>
      </c>
      <c r="C82">
        <f>VLOOKUP('Liste a câbles'!A82,'Liste a câbles'!B:N,13,FALSE)</f>
        <v>1.35</v>
      </c>
      <c r="E82" s="26">
        <f>IF('Liste a câbles'!$K82&lt;&gt;"",G82+(0.01851*('Liste a câbles'!$K82/'Liste a câbles'!$I82)*1000),"")</f>
        <v>124.28142857142856</v>
      </c>
      <c r="F82" s="26">
        <f>IF('Liste a câbles'!$K82&lt;&gt;"",H82+(0.08*'Liste a câbles'!$K82),"")</f>
        <v>30.32</v>
      </c>
      <c r="G82" s="26">
        <f>VLOOKUP($A82,$B:$F,4,FALSE)</f>
        <v>31.73142857142857</v>
      </c>
      <c r="H82" s="26">
        <f>VLOOKUP($A82,$B:$F,5,FALSE)</f>
        <v>26.32</v>
      </c>
      <c r="I82" s="26">
        <f t="shared" si="4"/>
        <v>127.9264471786624</v>
      </c>
      <c r="J82" s="26">
        <f>IF(E82&lt;&gt;"",(('Liste a câbles'!E82/SQRT(3))/'Annexe liste a câble'!I82),"")</f>
        <v>1.8052569485754482</v>
      </c>
    </row>
    <row r="83" spans="1:10" x14ac:dyDescent="0.25">
      <c r="A83" t="str">
        <f>'Liste a câbles'!A83</f>
        <v>E26</v>
      </c>
      <c r="B83" t="str">
        <f>'Liste a câbles'!B83</f>
        <v>GL-C6</v>
      </c>
      <c r="C83">
        <f>VLOOKUP('Liste a câbles'!A83,'Liste a câbles'!B:N,13,FALSE)</f>
        <v>1.35</v>
      </c>
      <c r="E83" s="26">
        <f>IF('Liste a câbles'!$K83&lt;&gt;"",G83+(0.01851*('Liste a câbles'!$K83/'Liste a câbles'!$I83)*1000),"")</f>
        <v>87.261428571428567</v>
      </c>
      <c r="F83" s="26">
        <f>IF('Liste a câbles'!$K83&lt;&gt;"",H83+(0.08*'Liste a câbles'!$K83),"")</f>
        <v>28.72</v>
      </c>
      <c r="G83" s="26">
        <f>VLOOKUP($A83,$B:$F,4,FALSE)</f>
        <v>31.73142857142857</v>
      </c>
      <c r="H83" s="26">
        <f>VLOOKUP($A83,$B:$F,5,FALSE)</f>
        <v>26.32</v>
      </c>
      <c r="I83" s="26">
        <f t="shared" si="4"/>
        <v>91.866181570404521</v>
      </c>
      <c r="J83" s="26">
        <f>IF(E83&lt;&gt;"",(('Liste a câbles'!E83/SQRT(3))/'Annexe liste a câble'!I83),"")</f>
        <v>2.5138751140849602</v>
      </c>
    </row>
    <row r="84" spans="1:10" x14ac:dyDescent="0.25">
      <c r="A84" t="str">
        <f>'Liste a câbles'!A84</f>
        <v>E27</v>
      </c>
      <c r="B84" t="str">
        <f>'Liste a câbles'!B84</f>
        <v>TC8</v>
      </c>
      <c r="C84">
        <f>VLOOKUP('Liste a câbles'!A84,'Liste a câbles'!B:N,13,FALSE)</f>
        <v>5.07</v>
      </c>
      <c r="E84" s="26" t="str">
        <f>IF('Liste a câbles'!$K84&lt;&gt;"",G84+(0.01851*('Liste a câbles'!$K84/'Liste a câbles'!$I84)*1000),"")</f>
        <v/>
      </c>
      <c r="F84" s="26" t="str">
        <f>IF('Liste a câbles'!$K84&lt;&gt;"",H84+(0.08*'Liste a câbles'!$K84),"")</f>
        <v/>
      </c>
      <c r="G84" s="26">
        <f>VLOOKUP($A84,$B:$F,4,FALSE)</f>
        <v>172.76</v>
      </c>
      <c r="H84" s="26">
        <f>VLOOKUP($A84,$B:$F,5,FALSE)</f>
        <v>32.32</v>
      </c>
      <c r="I84" s="26" t="str">
        <f t="shared" si="4"/>
        <v/>
      </c>
      <c r="J84" s="26" t="str">
        <f>IF(E84&lt;&gt;"",(('Liste a câbles'!E84/SQRT(3))/'Annexe liste a câble'!I84),"")</f>
        <v/>
      </c>
    </row>
    <row r="85" spans="1:10" x14ac:dyDescent="0.25">
      <c r="A85" t="str">
        <f>'Liste a câbles'!A85</f>
        <v>E27</v>
      </c>
      <c r="B85" t="str">
        <f>'Liste a câbles'!B85</f>
        <v>PR-A8</v>
      </c>
      <c r="C85">
        <f>VLOOKUP('Liste a câbles'!A85,'Liste a câbles'!B:N,13,FALSE)</f>
        <v>5.07</v>
      </c>
      <c r="E85" s="26">
        <f>IF('Liste a câbles'!$K85&lt;&gt;"",G85+(0.01851*('Liste a câbles'!$K85/'Liste a câbles'!$I85)*1000),"")</f>
        <v>219.035</v>
      </c>
      <c r="F85" s="26">
        <f>IF('Liste a câbles'!$K85&lt;&gt;"",H85+(0.08*'Liste a câbles'!$K85),"")</f>
        <v>34.32</v>
      </c>
      <c r="G85" s="26">
        <f>VLOOKUP($A85,$B:$F,4,FALSE)</f>
        <v>172.76</v>
      </c>
      <c r="H85" s="26">
        <f>VLOOKUP($A85,$B:$F,5,FALSE)</f>
        <v>32.32</v>
      </c>
      <c r="I85" s="26">
        <f t="shared" si="4"/>
        <v>221.70745054012056</v>
      </c>
      <c r="J85" s="26">
        <f>IF(E85&lt;&gt;"",(('Liste a câbles'!E85/SQRT(3))/'Annexe liste a câble'!I85),"")</f>
        <v>1.041643422957764</v>
      </c>
    </row>
    <row r="86" spans="1:10" x14ac:dyDescent="0.25">
      <c r="A86" t="str">
        <f>'Liste a câbles'!A86</f>
        <v>RD-C6</v>
      </c>
      <c r="B86" t="str">
        <f>'Liste a câbles'!B86</f>
        <v>RD-C7</v>
      </c>
      <c r="C86" t="e">
        <f>VLOOKUP('Liste a câbles'!A86,'Liste a câbles'!B:N,13,FALSE)</f>
        <v>#N/A</v>
      </c>
      <c r="E86" s="26" t="str">
        <f>IF('Liste a câbles'!$K86&lt;&gt;"",G86+(0.01851*('Liste a câbles'!$K86/'Liste a câbles'!$I86)*1000),"")</f>
        <v/>
      </c>
      <c r="F86" s="26" t="str">
        <f>IF('Liste a câbles'!$K86&lt;&gt;"",H86+(0.08*'Liste a câbles'!$K86),"")</f>
        <v/>
      </c>
      <c r="G86" s="26" t="e">
        <f>VLOOKUP($A86,$B:$F,4,FALSE)</f>
        <v>#N/A</v>
      </c>
      <c r="H86" s="26" t="e">
        <f>VLOOKUP($A86,$B:$F,5,FALSE)</f>
        <v>#N/A</v>
      </c>
      <c r="I86" s="26" t="str">
        <f t="shared" si="4"/>
        <v/>
      </c>
      <c r="J86" s="26" t="str">
        <f>IF(E86&lt;&gt;"",(('Liste a câbles'!E86/SQRT(3))/'Annexe liste a câble'!I86),"")</f>
        <v/>
      </c>
    </row>
    <row r="87" spans="1:10" x14ac:dyDescent="0.25">
      <c r="A87" t="str">
        <f>'Liste a câbles'!A87</f>
        <v>RD-B3</v>
      </c>
      <c r="B87" t="str">
        <f>'Liste a câbles'!B87</f>
        <v>RD-B2</v>
      </c>
      <c r="C87" t="str">
        <f>VLOOKUP('Liste a câbles'!A87,'Liste a câbles'!B:N,13,FALSE)</f>
        <v/>
      </c>
      <c r="E87" s="26" t="str">
        <f>IF('Liste a câbles'!$K87&lt;&gt;"",G87+(0.01851*('Liste a câbles'!$K87/'Liste a câbles'!$I87)*1000),"")</f>
        <v/>
      </c>
      <c r="F87" s="26" t="str">
        <f>IF('Liste a câbles'!$K87&lt;&gt;"",H87+(0.08*'Liste a câbles'!$K87),"")</f>
        <v/>
      </c>
      <c r="G87" s="26" t="str">
        <f>VLOOKUP($A87,$B:$F,4,FALSE)</f>
        <v/>
      </c>
      <c r="H87" s="26" t="str">
        <f>VLOOKUP($A87,$B:$F,5,FALSE)</f>
        <v/>
      </c>
      <c r="I87" s="26" t="str">
        <f t="shared" si="4"/>
        <v/>
      </c>
      <c r="J87" s="26" t="str">
        <f>IF(E87&lt;&gt;"",(('Liste a câbles'!E87/SQRT(3))/'Annexe liste a câble'!I87),"")</f>
        <v/>
      </c>
    </row>
    <row r="88" spans="1:10" x14ac:dyDescent="0.25">
      <c r="A88" t="str">
        <f>'Liste a câbles'!A88</f>
        <v>TC4</v>
      </c>
      <c r="B88" t="str">
        <f>'Liste a câbles'!B88</f>
        <v>WC1</v>
      </c>
      <c r="C88">
        <f>VLOOKUP('Liste a câbles'!A88,'Liste a câbles'!B:N,13,FALSE)</f>
        <v>1.56</v>
      </c>
      <c r="E88" s="26">
        <f>IF('Liste a câbles'!$K88&lt;&gt;"",G88+(0.01851*('Liste a câbles'!$K88/'Liste a câbles'!$I88)*1000),"")</f>
        <v>124.28142857142856</v>
      </c>
      <c r="F88" s="26">
        <f>IF('Liste a câbles'!$K88&lt;&gt;"",H88+(0.08*'Liste a câbles'!$K88),"")</f>
        <v>27.92</v>
      </c>
      <c r="G88" s="26">
        <f>VLOOKUP($A88,$B:$F,4,FALSE)</f>
        <v>50.241428571428571</v>
      </c>
      <c r="H88" s="26">
        <f>VLOOKUP($A88,$B:$F,5,FALSE)</f>
        <v>27.12</v>
      </c>
      <c r="I88" s="26">
        <f t="shared" si="4"/>
        <v>127.37896171564243</v>
      </c>
      <c r="J88" s="26">
        <f>IF(E88&lt;&gt;"",(('Liste a câbles'!E88/SQRT(3))/'Annexe liste a câble'!I88),"")</f>
        <v>1.042484254268395</v>
      </c>
    </row>
    <row r="89" spans="1:10" x14ac:dyDescent="0.25">
      <c r="A89" t="str">
        <f>'Liste a câbles'!A89</f>
        <v>TC4</v>
      </c>
      <c r="B89" t="str">
        <f>'Liste a câbles'!B89</f>
        <v>WC2</v>
      </c>
      <c r="C89">
        <f>VLOOKUP('Liste a câbles'!A89,'Liste a câbles'!B:N,13,FALSE)</f>
        <v>1.56</v>
      </c>
      <c r="E89" s="26">
        <f>IF('Liste a câbles'!$K89&lt;&gt;"",G89+(0.01851*('Liste a câbles'!$K89/'Liste a câbles'!$I89)*1000),"")</f>
        <v>124.28142857142856</v>
      </c>
      <c r="F89" s="26">
        <f>IF('Liste a câbles'!$K89&lt;&gt;"",H89+(0.08*'Liste a câbles'!$K89),"")</f>
        <v>27.92</v>
      </c>
      <c r="G89" s="26">
        <f>VLOOKUP($A89,$B:$F,4,FALSE)</f>
        <v>50.241428571428571</v>
      </c>
      <c r="H89" s="26">
        <f>VLOOKUP($A89,$B:$F,5,FALSE)</f>
        <v>27.12</v>
      </c>
      <c r="I89" s="26">
        <f t="shared" si="4"/>
        <v>127.37896171564243</v>
      </c>
      <c r="J89" s="26">
        <f>IF(E89&lt;&gt;"",(('Liste a câbles'!E89/SQRT(3))/'Annexe liste a câble'!I89),"")</f>
        <v>1.042484254268395</v>
      </c>
    </row>
    <row r="90" spans="1:10" x14ac:dyDescent="0.25">
      <c r="A90">
        <f>'Liste a câbles'!A90</f>
        <v>0</v>
      </c>
      <c r="B90">
        <f>'Liste a câbles'!B90</f>
        <v>0</v>
      </c>
      <c r="C90" t="e">
        <f>VLOOKUP('Liste a câbles'!A90,'Liste a câbles'!B:N,13,FALSE)</f>
        <v>#N/A</v>
      </c>
      <c r="E90" s="26" t="str">
        <f>IF('Liste a câbles'!$K90&lt;&gt;"",G90+(0.01851*('Liste a câbles'!$K90/'Liste a câbles'!$I90)*1000),"")</f>
        <v/>
      </c>
      <c r="F90" s="26" t="str">
        <f>IF('Liste a câbles'!$K90&lt;&gt;"",H90+(0.08*'Liste a câbles'!$K90),"")</f>
        <v/>
      </c>
      <c r="G90" s="26" t="str">
        <f>VLOOKUP($A90,$B:$F,4,FALSE)</f>
        <v/>
      </c>
      <c r="H90" s="26" t="str">
        <f>VLOOKUP($A90,$B:$F,5,FALSE)</f>
        <v/>
      </c>
      <c r="I90" s="26" t="str">
        <f t="shared" si="4"/>
        <v/>
      </c>
      <c r="J90" s="26" t="str">
        <f>IF(E90&lt;&gt;"",(('Liste a câbles'!E90/SQRT(3))/'Annexe liste a câble'!I90),"")</f>
        <v/>
      </c>
    </row>
    <row r="91" spans="1:10" x14ac:dyDescent="0.25">
      <c r="A91">
        <f>'Liste a câbles'!A91</f>
        <v>0</v>
      </c>
      <c r="B91">
        <f>'Liste a câbles'!B91</f>
        <v>0</v>
      </c>
      <c r="C91" t="e">
        <f>VLOOKUP('Liste a câbles'!A91,'Liste a câbles'!B:N,13,FALSE)</f>
        <v>#N/A</v>
      </c>
      <c r="E91" s="26" t="str">
        <f>IF('Liste a câbles'!$K91&lt;&gt;"",G91+(0.01851*('Liste a câbles'!$K91/'Liste a câbles'!$I91)*1000),"")</f>
        <v/>
      </c>
      <c r="F91" s="26" t="str">
        <f>IF('Liste a câbles'!$K91&lt;&gt;"",H91+(0.08*'Liste a câbles'!$K91),"")</f>
        <v/>
      </c>
      <c r="G91" s="26" t="str">
        <f>VLOOKUP($A91,$B:$F,4,FALSE)</f>
        <v/>
      </c>
      <c r="H91" s="26" t="str">
        <f>VLOOKUP($A91,$B:$F,5,FALSE)</f>
        <v/>
      </c>
      <c r="I91" s="26" t="str">
        <f t="shared" si="4"/>
        <v/>
      </c>
      <c r="J91" s="26" t="str">
        <f>IF(E91&lt;&gt;"",(('Liste a câbles'!E91/SQRT(3))/'Annexe liste a câble'!I91),"")</f>
        <v/>
      </c>
    </row>
    <row r="92" spans="1:10" x14ac:dyDescent="0.25">
      <c r="A92">
        <f>'Liste a câbles'!A92</f>
        <v>0</v>
      </c>
      <c r="B92">
        <f>'Liste a câbles'!B92</f>
        <v>0</v>
      </c>
      <c r="C92" t="e">
        <f>VLOOKUP('Liste a câbles'!A92,'Liste a câbles'!B:N,13,FALSE)</f>
        <v>#N/A</v>
      </c>
      <c r="E92" s="26" t="str">
        <f>IF('Liste a câbles'!$K92&lt;&gt;"",G92+(0.01851*('Liste a câbles'!$K92/'Liste a câbles'!$I92)*1000),"")</f>
        <v/>
      </c>
      <c r="F92" s="26" t="str">
        <f>IF('Liste a câbles'!$K92&lt;&gt;"",H92+(0.08*'Liste a câbles'!$K92),"")</f>
        <v/>
      </c>
      <c r="G92" s="26" t="str">
        <f>VLOOKUP($A92,$B:$F,4,FALSE)</f>
        <v/>
      </c>
      <c r="H92" s="26" t="str">
        <f>VLOOKUP($A92,$B:$F,5,FALSE)</f>
        <v/>
      </c>
      <c r="I92" s="26" t="str">
        <f t="shared" si="4"/>
        <v/>
      </c>
      <c r="J92" s="26" t="str">
        <f>IF(E92&lt;&gt;"",(('Liste a câbles'!E92/SQRT(3))/'Annexe liste a câble'!I92),"")</f>
        <v/>
      </c>
    </row>
    <row r="95" spans="1:10" x14ac:dyDescent="0.25">
      <c r="A95" s="87" t="s">
        <v>386</v>
      </c>
      <c r="B95" s="87"/>
      <c r="C95" s="87"/>
    </row>
  </sheetData>
  <mergeCells count="1">
    <mergeCell ref="A95:C95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RowHeight="15" x14ac:dyDescent="0.25"/>
  <sheetData>
    <row r="1" spans="1:1" x14ac:dyDescent="0.25">
      <c r="A1" s="37">
        <f ca="1">TODAY()</f>
        <v>42278</v>
      </c>
    </row>
    <row r="2" spans="1:1" x14ac:dyDescent="0.25">
      <c r="A2" s="37">
        <f ca="1">A1-(4*365+1)</f>
        <v>40817</v>
      </c>
    </row>
    <row r="3" spans="1:1" x14ac:dyDescent="0.25">
      <c r="A3" s="37">
        <f ca="1">A1-(5*365+1)</f>
        <v>40452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liste a cable terre</vt:lpstr>
      <vt:lpstr>listing tableaux</vt:lpstr>
      <vt:lpstr>Listing compteurs</vt:lpstr>
      <vt:lpstr>situation projetée</vt:lpstr>
      <vt:lpstr>Feuil2 (2)</vt:lpstr>
      <vt:lpstr>Feuil2</vt:lpstr>
      <vt:lpstr>Listing client</vt:lpstr>
      <vt:lpstr>Listing compteurs (2)</vt:lpstr>
      <vt:lpstr>Liste a câbles</vt:lpstr>
      <vt:lpstr>Annexe liste a câble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Caspar</dc:creator>
  <cp:lastModifiedBy>clement</cp:lastModifiedBy>
  <cp:lastPrinted>2015-09-28T05:51:07Z</cp:lastPrinted>
  <dcterms:created xsi:type="dcterms:W3CDTF">2014-02-01T12:18:16Z</dcterms:created>
  <dcterms:modified xsi:type="dcterms:W3CDTF">2015-10-01T01:32:02Z</dcterms:modified>
</cp:coreProperties>
</file>