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80" windowWidth="19320" windowHeight="12120" activeTab="3"/>
  </bookViews>
  <sheets>
    <sheet name="BD" sheetId="1" r:id="rId1"/>
    <sheet name="Ratio median" sheetId="4" r:id="rId2"/>
    <sheet name="Nouveau" sheetId="2" r:id="rId3"/>
    <sheet name="Consultation" sheetId="3" r:id="rId4"/>
  </sheets>
  <externalReferences>
    <externalReference r:id="rId5"/>
  </externalReferences>
  <definedNames>
    <definedName name="BD_Annéé_Bilan">OFFSET('[1]Base de Données'!$D$1,1,0,COUNTA('[1]Base de Données'!$A:$A)-1,1)</definedName>
  </definedNames>
  <calcPr calcId="145621"/>
</workbook>
</file>

<file path=xl/calcChain.xml><?xml version="1.0" encoding="utf-8"?>
<calcChain xmlns="http://schemas.openxmlformats.org/spreadsheetml/2006/main">
  <c r="E31" i="3" l="1"/>
  <c r="E30" i="3"/>
  <c r="E29" i="3"/>
  <c r="E28" i="3"/>
  <c r="E27" i="3"/>
  <c r="E26" i="3"/>
  <c r="E25" i="3"/>
  <c r="E24" i="3"/>
  <c r="E23" i="3"/>
  <c r="E22" i="3"/>
  <c r="E21" i="3"/>
  <c r="C12" i="3" l="1"/>
  <c r="E12" i="3" s="1"/>
  <c r="D2" i="2"/>
  <c r="C2" i="2"/>
  <c r="AB2" i="2"/>
  <c r="AA2" i="2"/>
  <c r="Z2" i="2"/>
  <c r="Y2" i="2"/>
  <c r="X2" i="2"/>
  <c r="W2" i="2"/>
  <c r="V2" i="2"/>
  <c r="U2" i="2"/>
  <c r="T2" i="2"/>
  <c r="S2" i="2"/>
  <c r="AC2" i="2"/>
  <c r="R2" i="2"/>
  <c r="Q2" i="2"/>
  <c r="P2" i="2"/>
  <c r="A2" i="2"/>
  <c r="E2" i="2"/>
  <c r="F2" i="2"/>
  <c r="G2" i="2"/>
  <c r="H2" i="2"/>
  <c r="I2" i="2"/>
  <c r="J2" i="2"/>
  <c r="K2" i="2"/>
  <c r="L2" i="2"/>
  <c r="M2" i="2"/>
  <c r="N2" i="2"/>
  <c r="O2" i="2"/>
  <c r="C10" i="3" l="1"/>
  <c r="G21" i="3" s="1"/>
  <c r="C9" i="3"/>
  <c r="F7" i="2"/>
  <c r="B2" i="2" s="1"/>
  <c r="H7" i="3" l="1"/>
  <c r="G22" i="3"/>
</calcChain>
</file>

<file path=xl/sharedStrings.xml><?xml version="1.0" encoding="utf-8"?>
<sst xmlns="http://schemas.openxmlformats.org/spreadsheetml/2006/main" count="158" uniqueCount="76">
  <si>
    <t>Date de saisie</t>
  </si>
  <si>
    <t>Nom Client</t>
  </si>
  <si>
    <t>Code NAF</t>
  </si>
  <si>
    <t>Année du Bilan</t>
  </si>
  <si>
    <t>EBE</t>
  </si>
  <si>
    <t>Stocks</t>
  </si>
  <si>
    <t>Achats</t>
  </si>
  <si>
    <t>Total Bilan</t>
  </si>
  <si>
    <t>Durée du Bilan (en mois)</t>
  </si>
  <si>
    <t>Numéro de client</t>
  </si>
  <si>
    <t>Formulaire de saisie</t>
  </si>
  <si>
    <t>Taper N° Client</t>
  </si>
  <si>
    <t>Activité du Client</t>
  </si>
  <si>
    <t>Date Bilan</t>
  </si>
  <si>
    <t>Ratios Financier du Client</t>
  </si>
  <si>
    <t>Médiane du Secteur</t>
  </si>
  <si>
    <t>Formulaire de consultation</t>
  </si>
  <si>
    <t>Date de Saisie</t>
  </si>
  <si>
    <t>Activité</t>
  </si>
  <si>
    <t>Culture de la Vigne</t>
  </si>
  <si>
    <t>Culture de céréale</t>
  </si>
  <si>
    <t>Industrie lourde</t>
  </si>
  <si>
    <t>Réparation machine agricole</t>
  </si>
  <si>
    <t>Clients et comptes rattachés</t>
  </si>
  <si>
    <t>Trésorerie</t>
  </si>
  <si>
    <t>Capitaux Propres</t>
  </si>
  <si>
    <t>Capitaux Propres = Total (1)</t>
  </si>
  <si>
    <t>Emprunts et dettes auprès des établissements de crédits</t>
  </si>
  <si>
    <t>Emprunts et dettes financières divers</t>
  </si>
  <si>
    <t>Dettes fournisseurs et comptes rattachés</t>
  </si>
  <si>
    <t>Chiffre d'affaire net</t>
  </si>
  <si>
    <t>Dotations  d'exploitation</t>
  </si>
  <si>
    <t>Résultat d'exploitation</t>
  </si>
  <si>
    <t>Charges financières</t>
  </si>
  <si>
    <t>Emprunts et dettes financières diverses</t>
  </si>
  <si>
    <t>Achats*</t>
  </si>
  <si>
    <t>Trésorerie*</t>
  </si>
  <si>
    <t>Dotations d'exploitation</t>
  </si>
  <si>
    <t>Définir selon activité de l'entreprise</t>
  </si>
  <si>
    <t>Délai règlement clients</t>
  </si>
  <si>
    <t>Délai règlement fournisseurs</t>
  </si>
  <si>
    <t>Rotation des stocks</t>
  </si>
  <si>
    <t>Indépendance financière</t>
  </si>
  <si>
    <t>Créances clients / Total Bilan</t>
  </si>
  <si>
    <t>Rentabilité</t>
  </si>
  <si>
    <t>(Emprunts + dettes diverse) / Capitaux propres</t>
  </si>
  <si>
    <t>Charges financières / RE</t>
  </si>
  <si>
    <t>Charges financières / CA</t>
  </si>
  <si>
    <t>saisir --/----</t>
  </si>
  <si>
    <t>Stocks*</t>
  </si>
  <si>
    <t>Définir selon activité (stock marhcandise ou stock matière première)</t>
  </si>
  <si>
    <t>1258A</t>
  </si>
  <si>
    <t>décembre-11</t>
  </si>
  <si>
    <t>2532B</t>
  </si>
  <si>
    <t>Bilan Disponible</t>
  </si>
  <si>
    <t>Délai réglément clients</t>
  </si>
  <si>
    <t>Délai règlement fournisseur</t>
  </si>
  <si>
    <t>Créances clients / Total bilan</t>
  </si>
  <si>
    <t>Emprunts + dettes financières diverses / Capitaux propres</t>
  </si>
  <si>
    <t xml:space="preserve">Rentabilité </t>
  </si>
  <si>
    <t>Délai réglement clients</t>
  </si>
  <si>
    <t>Délai réglement fournisseurs</t>
  </si>
  <si>
    <t>3698Q</t>
  </si>
  <si>
    <t>7845A</t>
  </si>
  <si>
    <t>MERCK&amp;CO</t>
  </si>
  <si>
    <t>ABBOTT</t>
  </si>
  <si>
    <t>JP MORGAN</t>
  </si>
  <si>
    <t>Tableau comparaison</t>
  </si>
  <si>
    <t>Année N-2</t>
  </si>
  <si>
    <t>Année N-1</t>
  </si>
  <si>
    <t>Année N</t>
  </si>
  <si>
    <t xml:space="preserve">Ratios financiers du client </t>
  </si>
  <si>
    <t>Macro N --&gt; copier coller en N</t>
  </si>
  <si>
    <t>Macro N-1 --&gt; copier coller en N-1</t>
  </si>
  <si>
    <t>Macro N-2 --&gt; copier coller en N-2</t>
  </si>
  <si>
    <t>Si plusieurs bilans disponibles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</si>
</sst>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165" formatCode="0.0"/>
    <numFmt numFmtId="166" formatCode="[$-40C]mmmm\-yy;@"/>
    <numFmt numFmtId="167" formatCode="mm/yyyy"/>
    <numFmt numFmtId="168" formatCode="mmm\-yyyy"/>
    <numFmt numFmtId="169" formatCode="_-* #,##0\ [$€-40C]_-;\-* #,##0\ [$€-40C]_-;_-* &quot;-&quot;??\ [$€-40C]_-;_-@_-"/>
    <numFmt numFmtId="170" formatCode="_-* #,##0\ &quot;€&quot;_-;\-* #,##0\ &quot;€&quot;_-;_-* &quot;-&quot;??\ &quot;€&quot;_-;_-@_-"/>
    <numFmt numFmtId="171" formatCode="000000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Arial"/>
      <family val="2"/>
    </font>
    <font>
      <b/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20"/>
      <name val="Arial"/>
      <family val="2"/>
    </font>
    <font>
      <b/>
      <i/>
      <sz val="12"/>
      <color rgb="FFFF0000"/>
      <name val="Calibri"/>
      <family val="2"/>
      <scheme val="minor"/>
    </font>
    <font>
      <b/>
      <sz val="11"/>
      <color theme="1"/>
      <name val="Arial Black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44" fontId="8" fillId="0" borderId="0" applyFont="0" applyFill="0" applyBorder="0" applyAlignment="0" applyProtection="0"/>
    <xf numFmtId="9" fontId="8" fillId="0" borderId="0" applyFont="0" applyFill="0" applyBorder="0" applyAlignment="0" applyProtection="0"/>
  </cellStyleXfs>
  <cellXfs count="124">
    <xf numFmtId="0" fontId="0" fillId="0" borderId="0" xfId="0"/>
    <xf numFmtId="0" fontId="2" fillId="0" borderId="4" xfId="0" applyFont="1" applyBorder="1" applyAlignment="1">
      <alignment horizontal="center" vertical="center" wrapText="1"/>
    </xf>
    <xf numFmtId="0" fontId="0" fillId="0" borderId="13" xfId="0" applyBorder="1"/>
    <xf numFmtId="14" fontId="0" fillId="0" borderId="13" xfId="0" applyNumberFormat="1" applyBorder="1"/>
    <xf numFmtId="165" fontId="0" fillId="0" borderId="13" xfId="0" applyNumberFormat="1" applyBorder="1"/>
    <xf numFmtId="166" fontId="0" fillId="0" borderId="13" xfId="0" applyNumberFormat="1" applyBorder="1"/>
    <xf numFmtId="14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66" fontId="0" fillId="0" borderId="13" xfId="0" applyNumberFormat="1" applyBorder="1" applyAlignment="1">
      <alignment horizontal="center"/>
    </xf>
    <xf numFmtId="0" fontId="3" fillId="0" borderId="0" xfId="0" applyFont="1"/>
    <xf numFmtId="0" fontId="1" fillId="0" borderId="0" xfId="0" applyFont="1" applyFill="1" applyBorder="1" applyAlignment="1">
      <alignment horizontal="center" vertical="center"/>
    </xf>
    <xf numFmtId="168" fontId="7" fillId="0" borderId="0" xfId="0" applyNumberFormat="1" applyFont="1"/>
    <xf numFmtId="14" fontId="0" fillId="0" borderId="5" xfId="0" applyNumberFormat="1" applyFill="1" applyBorder="1"/>
    <xf numFmtId="0" fontId="0" fillId="0" borderId="0" xfId="0" applyFill="1"/>
    <xf numFmtId="0" fontId="0" fillId="0" borderId="5" xfId="0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 wrapText="1"/>
    </xf>
    <xf numFmtId="169" fontId="0" fillId="0" borderId="13" xfId="0" applyNumberFormat="1" applyBorder="1" applyAlignment="1">
      <alignment horizontal="center"/>
    </xf>
    <xf numFmtId="170" fontId="0" fillId="0" borderId="13" xfId="1" applyNumberFormat="1" applyFont="1" applyBorder="1"/>
    <xf numFmtId="0" fontId="2" fillId="0" borderId="23" xfId="0" applyFont="1" applyFill="1" applyBorder="1" applyAlignment="1">
      <alignment horizontal="center" vertical="center" wrapText="1"/>
    </xf>
    <xf numFmtId="9" fontId="0" fillId="0" borderId="13" xfId="2" applyFont="1" applyBorder="1"/>
    <xf numFmtId="168" fontId="10" fillId="0" borderId="0" xfId="0" applyNumberFormat="1" applyFont="1"/>
    <xf numFmtId="171" fontId="0" fillId="0" borderId="3" xfId="0" applyNumberFormat="1" applyFill="1" applyBorder="1" applyAlignment="1">
      <alignment horizontal="center"/>
    </xf>
    <xf numFmtId="171" fontId="0" fillId="0" borderId="24" xfId="0" applyNumberFormat="1" applyFill="1" applyBorder="1" applyAlignment="1">
      <alignment horizontal="center"/>
    </xf>
    <xf numFmtId="10" fontId="0" fillId="0" borderId="13" xfId="2" applyNumberFormat="1" applyFont="1" applyBorder="1"/>
    <xf numFmtId="169" fontId="0" fillId="0" borderId="13" xfId="0" applyNumberFormat="1" applyBorder="1"/>
    <xf numFmtId="170" fontId="0" fillId="0" borderId="13" xfId="0" applyNumberFormat="1" applyBorder="1"/>
    <xf numFmtId="9" fontId="0" fillId="0" borderId="13" xfId="0" applyNumberFormat="1" applyBorder="1"/>
    <xf numFmtId="10" fontId="0" fillId="0" borderId="13" xfId="0" applyNumberFormat="1" applyBorder="1"/>
    <xf numFmtId="0" fontId="2" fillId="0" borderId="25" xfId="0" applyFont="1" applyFill="1" applyBorder="1" applyAlignment="1">
      <alignment horizontal="center" vertical="center" wrapText="1"/>
    </xf>
    <xf numFmtId="0" fontId="0" fillId="0" borderId="0" xfId="0" applyBorder="1"/>
    <xf numFmtId="14" fontId="0" fillId="0" borderId="26" xfId="0" applyNumberFormat="1" applyBorder="1"/>
    <xf numFmtId="0" fontId="0" fillId="0" borderId="26" xfId="0" applyBorder="1"/>
    <xf numFmtId="166" fontId="0" fillId="0" borderId="26" xfId="0" applyNumberFormat="1" applyBorder="1"/>
    <xf numFmtId="169" fontId="0" fillId="0" borderId="26" xfId="0" applyNumberFormat="1" applyBorder="1"/>
    <xf numFmtId="170" fontId="0" fillId="0" borderId="26" xfId="0" applyNumberFormat="1" applyBorder="1"/>
    <xf numFmtId="165" fontId="0" fillId="0" borderId="26" xfId="0" applyNumberFormat="1" applyBorder="1"/>
    <xf numFmtId="9" fontId="0" fillId="0" borderId="26" xfId="0" applyNumberFormat="1" applyBorder="1"/>
    <xf numFmtId="10" fontId="0" fillId="0" borderId="26" xfId="0" applyNumberFormat="1" applyBorder="1"/>
    <xf numFmtId="0" fontId="6" fillId="0" borderId="28" xfId="0" applyNumberFormat="1" applyFont="1" applyFill="1" applyBorder="1" applyAlignment="1">
      <alignment horizontal="center" vertical="center"/>
    </xf>
    <xf numFmtId="0" fontId="6" fillId="0" borderId="30" xfId="0" applyNumberFormat="1" applyFont="1" applyFill="1" applyBorder="1" applyAlignment="1">
      <alignment horizontal="center" vertical="center"/>
    </xf>
    <xf numFmtId="167" fontId="0" fillId="0" borderId="30" xfId="0" applyNumberFormat="1" applyFont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12" fillId="0" borderId="27" xfId="0" applyFont="1" applyFill="1" applyBorder="1" applyAlignment="1">
      <alignment horizontal="center" vertical="center"/>
    </xf>
    <xf numFmtId="0" fontId="12" fillId="0" borderId="29" xfId="0" applyFont="1" applyFill="1" applyBorder="1" applyAlignment="1">
      <alignment horizontal="center" vertical="center"/>
    </xf>
    <xf numFmtId="0" fontId="12" fillId="0" borderId="31" xfId="0" applyFont="1" applyFill="1" applyBorder="1" applyAlignment="1">
      <alignment horizontal="center" vertical="center"/>
    </xf>
    <xf numFmtId="0" fontId="0" fillId="0" borderId="32" xfId="0" applyFont="1" applyBorder="1" applyAlignment="1">
      <alignment horizontal="center" vertical="center"/>
    </xf>
    <xf numFmtId="171" fontId="0" fillId="0" borderId="13" xfId="0" applyNumberFormat="1" applyBorder="1" applyAlignment="1">
      <alignment horizontal="center"/>
    </xf>
    <xf numFmtId="171" fontId="0" fillId="0" borderId="26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0" fontId="2" fillId="0" borderId="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2" fillId="0" borderId="1" xfId="0" applyFont="1" applyBorder="1" applyAlignment="1">
      <alignment horizontal="left"/>
    </xf>
    <xf numFmtId="0" fontId="2" fillId="0" borderId="5" xfId="0" applyFont="1" applyBorder="1" applyAlignment="1">
      <alignment horizontal="left"/>
    </xf>
    <xf numFmtId="0" fontId="2" fillId="0" borderId="10" xfId="0" applyFont="1" applyBorder="1" applyAlignment="1">
      <alignment horizontal="left"/>
    </xf>
    <xf numFmtId="0" fontId="2" fillId="0" borderId="16" xfId="0" applyFont="1" applyBorder="1" applyAlignment="1">
      <alignment horizontal="left"/>
    </xf>
    <xf numFmtId="0" fontId="2" fillId="0" borderId="19" xfId="0" applyFont="1" applyBorder="1" applyAlignment="1">
      <alignment horizontal="left"/>
    </xf>
    <xf numFmtId="0" fontId="2" fillId="0" borderId="20" xfId="0" applyFont="1" applyBorder="1" applyAlignment="1">
      <alignment horizontal="left"/>
    </xf>
    <xf numFmtId="0" fontId="2" fillId="0" borderId="14" xfId="0" applyFont="1" applyBorder="1" applyAlignment="1">
      <alignment horizontal="left"/>
    </xf>
    <xf numFmtId="0" fontId="2" fillId="0" borderId="15" xfId="0" applyFont="1" applyBorder="1" applyAlignment="1">
      <alignment horizontal="left"/>
    </xf>
    <xf numFmtId="0" fontId="2" fillId="0" borderId="21" xfId="0" applyFont="1" applyBorder="1" applyAlignment="1">
      <alignment horizontal="left"/>
    </xf>
    <xf numFmtId="0" fontId="2" fillId="0" borderId="22" xfId="0" applyFont="1" applyBorder="1" applyAlignment="1">
      <alignment horizontal="left"/>
    </xf>
    <xf numFmtId="0" fontId="2" fillId="0" borderId="17" xfId="0" applyFont="1" applyBorder="1" applyAlignment="1">
      <alignment horizontal="left"/>
    </xf>
    <xf numFmtId="0" fontId="2" fillId="0" borderId="18" xfId="0" applyFont="1" applyBorder="1" applyAlignment="1">
      <alignment horizontal="left"/>
    </xf>
    <xf numFmtId="0" fontId="2" fillId="0" borderId="2" xfId="0" applyFont="1" applyFill="1" applyBorder="1" applyAlignment="1">
      <alignment horizontal="left"/>
    </xf>
    <xf numFmtId="0" fontId="2" fillId="0" borderId="3" xfId="0" applyFont="1" applyFill="1" applyBorder="1" applyAlignment="1">
      <alignment horizontal="left"/>
    </xf>
    <xf numFmtId="0" fontId="2" fillId="0" borderId="10" xfId="0" applyFont="1" applyFill="1" applyBorder="1" applyAlignment="1">
      <alignment horizontal="left"/>
    </xf>
    <xf numFmtId="0" fontId="2" fillId="0" borderId="16" xfId="0" applyFont="1" applyFill="1" applyBorder="1" applyAlignment="1">
      <alignment horizontal="left"/>
    </xf>
    <xf numFmtId="0" fontId="12" fillId="0" borderId="11" xfId="0" applyFont="1" applyFill="1" applyBorder="1" applyAlignment="1">
      <alignment horizontal="center" vertical="center"/>
    </xf>
    <xf numFmtId="0" fontId="12" fillId="0" borderId="12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 wrapText="1"/>
    </xf>
    <xf numFmtId="165" fontId="4" fillId="0" borderId="2" xfId="0" applyNumberFormat="1" applyFont="1" applyFill="1" applyBorder="1" applyAlignment="1">
      <alignment horizontal="center" vertical="center"/>
    </xf>
    <xf numFmtId="165" fontId="4" fillId="0" borderId="3" xfId="0" applyNumberFormat="1" applyFont="1" applyFill="1" applyBorder="1" applyAlignment="1">
      <alignment horizontal="center" vertical="center"/>
    </xf>
    <xf numFmtId="165" fontId="4" fillId="0" borderId="10" xfId="0" applyNumberFormat="1" applyFont="1" applyFill="1" applyBorder="1" applyAlignment="1">
      <alignment horizontal="center" vertical="center"/>
    </xf>
    <xf numFmtId="165" fontId="4" fillId="0" borderId="16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 wrapText="1"/>
    </xf>
    <xf numFmtId="0" fontId="0" fillId="0" borderId="33" xfId="0" applyFont="1" applyFill="1" applyBorder="1" applyAlignment="1">
      <alignment horizontal="center" vertical="center" wrapText="1"/>
    </xf>
    <xf numFmtId="0" fontId="0" fillId="0" borderId="7" xfId="0" applyFont="1" applyFill="1" applyBorder="1" applyAlignment="1">
      <alignment horizontal="center" vertical="center" wrapText="1"/>
    </xf>
    <xf numFmtId="0" fontId="0" fillId="0" borderId="8" xfId="0" applyFont="1" applyFill="1" applyBorder="1" applyAlignment="1">
      <alignment horizontal="center" vertical="center" wrapText="1"/>
    </xf>
    <xf numFmtId="0" fontId="0" fillId="0" borderId="34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left"/>
    </xf>
    <xf numFmtId="0" fontId="2" fillId="0" borderId="9" xfId="0" applyFont="1" applyFill="1" applyBorder="1" applyAlignment="1">
      <alignment horizontal="left"/>
    </xf>
    <xf numFmtId="0" fontId="2" fillId="0" borderId="17" xfId="0" applyFont="1" applyFill="1" applyBorder="1" applyAlignment="1">
      <alignment horizontal="left"/>
    </xf>
    <xf numFmtId="0" fontId="2" fillId="0" borderId="18" xfId="0" applyFont="1" applyFill="1" applyBorder="1" applyAlignment="1">
      <alignment horizontal="left"/>
    </xf>
    <xf numFmtId="165" fontId="0" fillId="0" borderId="10" xfId="0" applyNumberFormat="1" applyBorder="1" applyAlignment="1">
      <alignment horizontal="center"/>
    </xf>
    <xf numFmtId="165" fontId="0" fillId="0" borderId="16" xfId="0" applyNumberFormat="1" applyBorder="1" applyAlignment="1">
      <alignment horizontal="center"/>
    </xf>
    <xf numFmtId="171" fontId="0" fillId="0" borderId="25" xfId="0" applyNumberFormat="1" applyBorder="1" applyAlignment="1">
      <alignment horizontal="center"/>
    </xf>
    <xf numFmtId="14" fontId="0" fillId="0" borderId="25" xfId="0" applyNumberFormat="1" applyBorder="1"/>
    <xf numFmtId="0" fontId="0" fillId="0" borderId="25" xfId="0" applyBorder="1"/>
    <xf numFmtId="166" fontId="0" fillId="0" borderId="25" xfId="0" applyNumberFormat="1" applyBorder="1"/>
    <xf numFmtId="169" fontId="0" fillId="0" borderId="25" xfId="0" applyNumberFormat="1" applyBorder="1"/>
    <xf numFmtId="170" fontId="0" fillId="0" borderId="25" xfId="0" applyNumberFormat="1" applyBorder="1"/>
    <xf numFmtId="165" fontId="0" fillId="0" borderId="25" xfId="0" applyNumberFormat="1" applyBorder="1"/>
    <xf numFmtId="9" fontId="0" fillId="0" borderId="25" xfId="0" applyNumberFormat="1" applyBorder="1"/>
    <xf numFmtId="10" fontId="0" fillId="0" borderId="25" xfId="0" applyNumberFormat="1" applyBorder="1"/>
    <xf numFmtId="9" fontId="0" fillId="0" borderId="10" xfId="2" applyFont="1" applyBorder="1" applyAlignment="1">
      <alignment horizontal="center"/>
    </xf>
    <xf numFmtId="9" fontId="0" fillId="0" borderId="16" xfId="2" applyFont="1" applyBorder="1" applyAlignment="1">
      <alignment horizontal="center"/>
    </xf>
    <xf numFmtId="10" fontId="0" fillId="0" borderId="10" xfId="2" applyNumberFormat="1" applyFont="1" applyBorder="1" applyAlignment="1">
      <alignment horizontal="center"/>
    </xf>
    <xf numFmtId="10" fontId="0" fillId="0" borderId="16" xfId="2" applyNumberFormat="1" applyFont="1" applyBorder="1" applyAlignment="1">
      <alignment horizontal="center"/>
    </xf>
    <xf numFmtId="170" fontId="0" fillId="0" borderId="14" xfId="1" applyNumberFormat="1" applyFont="1" applyBorder="1" applyAlignment="1">
      <alignment horizontal="center"/>
    </xf>
    <xf numFmtId="170" fontId="0" fillId="0" borderId="15" xfId="1" applyNumberFormat="1" applyFont="1" applyBorder="1" applyAlignment="1">
      <alignment horizontal="center"/>
    </xf>
    <xf numFmtId="170" fontId="0" fillId="0" borderId="10" xfId="1" applyNumberFormat="1" applyFont="1" applyBorder="1" applyAlignment="1">
      <alignment horizontal="center"/>
    </xf>
    <xf numFmtId="170" fontId="0" fillId="0" borderId="16" xfId="1" applyNumberFormat="1" applyFont="1" applyBorder="1" applyAlignment="1">
      <alignment horizontal="center"/>
    </xf>
    <xf numFmtId="9" fontId="0" fillId="0" borderId="26" xfId="2" applyFont="1" applyBorder="1"/>
    <xf numFmtId="10" fontId="0" fillId="0" borderId="26" xfId="2" applyNumberFormat="1" applyFont="1" applyBorder="1"/>
    <xf numFmtId="0" fontId="0" fillId="0" borderId="13" xfId="0" applyBorder="1" applyAlignment="1">
      <alignment horizontal="center"/>
    </xf>
    <xf numFmtId="0" fontId="5" fillId="0" borderId="0" xfId="0" applyFont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0</xdr:colOff>
          <xdr:row>8</xdr:row>
          <xdr:rowOff>28575</xdr:rowOff>
        </xdr:from>
        <xdr:to>
          <xdr:col>8</xdr:col>
          <xdr:colOff>28575</xdr:colOff>
          <xdr:row>9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</a:rPr>
                <a:t>Enregistrer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628650</xdr:colOff>
      <xdr:row>24</xdr:row>
      <xdr:rowOff>171450</xdr:rowOff>
    </xdr:from>
    <xdr:to>
      <xdr:col>9</xdr:col>
      <xdr:colOff>523875</xdr:colOff>
      <xdr:row>24</xdr:row>
      <xdr:rowOff>190500</xdr:rowOff>
    </xdr:to>
    <xdr:cxnSp macro="">
      <xdr:nvCxnSpPr>
        <xdr:cNvPr id="3" name="Connecteur droit avec flèche 2"/>
        <xdr:cNvCxnSpPr/>
      </xdr:nvCxnSpPr>
      <xdr:spPr>
        <a:xfrm flipV="1">
          <a:off x="8067675" y="5391150"/>
          <a:ext cx="657225" cy="19050"/>
        </a:xfrm>
        <a:prstGeom prst="straightConnector1">
          <a:avLst/>
        </a:prstGeom>
        <a:ln>
          <a:tailEnd type="arrow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P&#244;le%20Cr&#233;dit%20Management\Contentieux%20cr&#233;dit\Luc%20Strambio\Matrice%20financi&#232;re\Prototype%202%20Matrice%20Financi&#232;r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"/>
      <sheetName val="Base des Ratios Médians"/>
      <sheetName val="Nouveau"/>
      <sheetName val="Consultation"/>
      <sheetName val="Définition des Ratios"/>
      <sheetName val="Explications Formules Excel"/>
    </sheetNames>
    <sheetDataSet>
      <sheetData sheetId="0">
        <row r="1">
          <cell r="A1" t="str">
            <v>N° Client</v>
          </cell>
          <cell r="D1" t="str">
            <v>Année du Bilan</v>
          </cell>
        </row>
        <row r="2">
          <cell r="A2">
            <v>111111</v>
          </cell>
        </row>
        <row r="3">
          <cell r="A3">
            <v>555555</v>
          </cell>
        </row>
        <row r="4">
          <cell r="A4">
            <v>111111</v>
          </cell>
        </row>
        <row r="5">
          <cell r="A5">
            <v>333333</v>
          </cell>
        </row>
        <row r="6">
          <cell r="A6">
            <v>555555</v>
          </cell>
        </row>
        <row r="7">
          <cell r="A7">
            <v>666666</v>
          </cell>
        </row>
        <row r="8">
          <cell r="A8">
            <v>222222</v>
          </cell>
        </row>
        <row r="9">
          <cell r="A9">
            <v>555555</v>
          </cell>
        </row>
        <row r="10">
          <cell r="A10">
            <v>444444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8"/>
  <sheetViews>
    <sheetView workbookViewId="0">
      <selection activeCell="G13" sqref="G13"/>
    </sheetView>
  </sheetViews>
  <sheetFormatPr baseColWidth="10" defaultRowHeight="15" x14ac:dyDescent="0.25"/>
  <cols>
    <col min="1" max="1" width="12.85546875" customWidth="1"/>
    <col min="2" max="2" width="10.7109375" customWidth="1"/>
    <col min="3" max="3" width="16.42578125" customWidth="1"/>
    <col min="5" max="5" width="12.5703125" customWidth="1"/>
    <col min="6" max="6" width="11.7109375" bestFit="1" customWidth="1"/>
    <col min="7" max="7" width="12.140625" customWidth="1"/>
    <col min="9" max="9" width="15" customWidth="1"/>
    <col min="10" max="10" width="14" customWidth="1"/>
    <col min="11" max="11" width="15" customWidth="1"/>
    <col min="12" max="12" width="14.140625" customWidth="1"/>
    <col min="13" max="13" width="12.7109375" customWidth="1"/>
    <col min="14" max="14" width="14.28515625" customWidth="1"/>
    <col min="15" max="15" width="11.7109375" bestFit="1" customWidth="1"/>
    <col min="16" max="16" width="15.28515625" customWidth="1"/>
    <col min="17" max="17" width="15.42578125" customWidth="1"/>
    <col min="18" max="18" width="12.28515625" customWidth="1"/>
    <col min="19" max="19" width="17" customWidth="1"/>
    <col min="20" max="20" width="16" customWidth="1"/>
    <col min="21" max="21" width="12.28515625" customWidth="1"/>
    <col min="22" max="22" width="14.140625" customWidth="1"/>
    <col min="23" max="23" width="15.140625" customWidth="1"/>
    <col min="24" max="24" width="13.28515625" customWidth="1"/>
    <col min="25" max="25" width="12.42578125" customWidth="1"/>
    <col min="26" max="26" width="12.7109375" customWidth="1"/>
  </cols>
  <sheetData>
    <row r="1" spans="1:29" ht="40.5" customHeight="1" x14ac:dyDescent="0.25">
      <c r="A1" s="28" t="s">
        <v>9</v>
      </c>
      <c r="B1" s="28" t="s">
        <v>0</v>
      </c>
      <c r="C1" s="28" t="s">
        <v>1</v>
      </c>
      <c r="D1" s="28" t="s">
        <v>2</v>
      </c>
      <c r="E1" s="28" t="s">
        <v>3</v>
      </c>
      <c r="F1" s="28" t="s">
        <v>5</v>
      </c>
      <c r="G1" s="28" t="s">
        <v>23</v>
      </c>
      <c r="H1" s="28" t="s">
        <v>24</v>
      </c>
      <c r="I1" s="28" t="s">
        <v>25</v>
      </c>
      <c r="J1" s="28" t="s">
        <v>27</v>
      </c>
      <c r="K1" s="28" t="s">
        <v>34</v>
      </c>
      <c r="L1" s="28" t="s">
        <v>29</v>
      </c>
      <c r="M1" s="28" t="s">
        <v>7</v>
      </c>
      <c r="N1" s="28" t="s">
        <v>30</v>
      </c>
      <c r="O1" s="28" t="s">
        <v>6</v>
      </c>
      <c r="P1" s="28" t="s">
        <v>37</v>
      </c>
      <c r="Q1" s="28" t="s">
        <v>32</v>
      </c>
      <c r="R1" s="28" t="s">
        <v>33</v>
      </c>
      <c r="S1" s="28" t="s">
        <v>39</v>
      </c>
      <c r="T1" s="28" t="s">
        <v>40</v>
      </c>
      <c r="U1" s="28" t="s">
        <v>41</v>
      </c>
      <c r="V1" s="28" t="s">
        <v>43</v>
      </c>
      <c r="W1" s="28" t="s">
        <v>42</v>
      </c>
      <c r="X1" s="28" t="s">
        <v>45</v>
      </c>
      <c r="Y1" s="28" t="s">
        <v>47</v>
      </c>
      <c r="Z1" s="28" t="s">
        <v>46</v>
      </c>
      <c r="AA1" s="28" t="s">
        <v>4</v>
      </c>
      <c r="AB1" s="28" t="s">
        <v>44</v>
      </c>
      <c r="AC1" s="28" t="s">
        <v>24</v>
      </c>
    </row>
    <row r="2" spans="1:29" ht="19.5" customHeight="1" x14ac:dyDescent="0.25">
      <c r="A2" s="103">
        <v>111111</v>
      </c>
      <c r="B2" s="104">
        <v>41424</v>
      </c>
      <c r="C2" s="105" t="s">
        <v>64</v>
      </c>
      <c r="D2" s="105" t="s">
        <v>51</v>
      </c>
      <c r="E2" s="106">
        <v>40513</v>
      </c>
      <c r="F2" s="107">
        <v>1400000</v>
      </c>
      <c r="G2" s="108">
        <v>2000000</v>
      </c>
      <c r="H2" s="108">
        <v>100</v>
      </c>
      <c r="I2" s="108">
        <v>1100000</v>
      </c>
      <c r="J2" s="108">
        <v>610000</v>
      </c>
      <c r="K2" s="108">
        <v>40</v>
      </c>
      <c r="L2" s="108">
        <v>1500000</v>
      </c>
      <c r="M2" s="108">
        <v>5000000</v>
      </c>
      <c r="N2" s="108">
        <v>10000000</v>
      </c>
      <c r="O2" s="108">
        <v>4500000</v>
      </c>
      <c r="P2" s="108">
        <v>250000</v>
      </c>
      <c r="Q2" s="108">
        <v>16000</v>
      </c>
      <c r="R2" s="108">
        <v>44000</v>
      </c>
      <c r="S2" s="109">
        <v>61.035451505016724</v>
      </c>
      <c r="T2" s="109">
        <v>101.72575250836121</v>
      </c>
      <c r="U2" s="109">
        <v>94.944035674470456</v>
      </c>
      <c r="V2" s="110">
        <v>0.4</v>
      </c>
      <c r="W2" s="110">
        <v>0.22</v>
      </c>
      <c r="X2" s="110">
        <v>0.55458181818181818</v>
      </c>
      <c r="Y2" s="111">
        <v>4.4000000000000003E-3</v>
      </c>
      <c r="Z2" s="110">
        <v>2.75</v>
      </c>
      <c r="AA2" s="108">
        <v>266000</v>
      </c>
      <c r="AB2" s="111">
        <v>1.6000000000000001E-3</v>
      </c>
      <c r="AC2" s="108">
        <v>100</v>
      </c>
    </row>
    <row r="3" spans="1:29" ht="19.5" customHeight="1" x14ac:dyDescent="0.25">
      <c r="A3" s="103">
        <v>222222</v>
      </c>
      <c r="B3" s="104">
        <v>41424</v>
      </c>
      <c r="C3" s="105" t="s">
        <v>65</v>
      </c>
      <c r="D3" s="105" t="s">
        <v>51</v>
      </c>
      <c r="E3" s="106">
        <v>41244</v>
      </c>
      <c r="F3" s="107">
        <v>1200000</v>
      </c>
      <c r="G3" s="108">
        <v>1400000</v>
      </c>
      <c r="H3" s="108">
        <v>550</v>
      </c>
      <c r="I3" s="108">
        <v>1000000</v>
      </c>
      <c r="J3" s="108">
        <v>580000</v>
      </c>
      <c r="K3" s="108">
        <v>120000</v>
      </c>
      <c r="L3" s="108">
        <v>1500000</v>
      </c>
      <c r="M3" s="108">
        <v>12500000</v>
      </c>
      <c r="N3" s="108">
        <v>13250000</v>
      </c>
      <c r="O3" s="108">
        <v>5800000</v>
      </c>
      <c r="P3" s="108">
        <v>75000</v>
      </c>
      <c r="Q3" s="108">
        <v>72000</v>
      </c>
      <c r="R3" s="108">
        <v>55000</v>
      </c>
      <c r="S3" s="109">
        <v>32.245144191329587</v>
      </c>
      <c r="T3" s="109">
        <v>78.92515280821128</v>
      </c>
      <c r="U3" s="109">
        <v>63.140122246569021</v>
      </c>
      <c r="V3" s="110">
        <v>0.112</v>
      </c>
      <c r="W3" s="110">
        <v>0.08</v>
      </c>
      <c r="X3" s="110">
        <v>0.7</v>
      </c>
      <c r="Y3" s="111">
        <v>4.1509433962264152E-3</v>
      </c>
      <c r="Z3" s="110">
        <v>0.76388888888888884</v>
      </c>
      <c r="AA3" s="108">
        <v>147000</v>
      </c>
      <c r="AB3" s="111">
        <v>5.4339622641509438E-3</v>
      </c>
      <c r="AC3" s="108">
        <v>550</v>
      </c>
    </row>
    <row r="4" spans="1:29" ht="19.5" customHeight="1" x14ac:dyDescent="0.25">
      <c r="A4" s="103">
        <v>222222</v>
      </c>
      <c r="B4" s="104">
        <v>41424</v>
      </c>
      <c r="C4" s="105" t="s">
        <v>65</v>
      </c>
      <c r="D4" s="105" t="s">
        <v>51</v>
      </c>
      <c r="E4" s="106">
        <v>40878</v>
      </c>
      <c r="F4" s="107">
        <v>1500000</v>
      </c>
      <c r="G4" s="108">
        <v>1600000</v>
      </c>
      <c r="H4" s="108">
        <v>200</v>
      </c>
      <c r="I4" s="108">
        <v>1000000</v>
      </c>
      <c r="J4" s="108">
        <v>735000</v>
      </c>
      <c r="K4" s="108">
        <v>0</v>
      </c>
      <c r="L4" s="108">
        <v>1200000</v>
      </c>
      <c r="M4" s="108">
        <v>4600000</v>
      </c>
      <c r="N4" s="108">
        <v>11000000</v>
      </c>
      <c r="O4" s="108">
        <v>4900000</v>
      </c>
      <c r="P4" s="108">
        <v>265000</v>
      </c>
      <c r="Q4" s="108">
        <v>60000</v>
      </c>
      <c r="R4" s="108">
        <v>58000</v>
      </c>
      <c r="S4" s="109">
        <v>44.389419276375804</v>
      </c>
      <c r="T4" s="109">
        <v>74.737287557163341</v>
      </c>
      <c r="U4" s="109">
        <v>93.42160944645417</v>
      </c>
      <c r="V4" s="110">
        <v>0.34782608695652173</v>
      </c>
      <c r="W4" s="110">
        <v>0.21739130434782608</v>
      </c>
      <c r="X4" s="110">
        <v>0.73499999999999999</v>
      </c>
      <c r="Y4" s="111">
        <v>5.2727272727272727E-3</v>
      </c>
      <c r="Z4" s="110">
        <v>0.96666666666666667</v>
      </c>
      <c r="AA4" s="108">
        <v>325000</v>
      </c>
      <c r="AB4" s="111">
        <v>5.454545454545455E-3</v>
      </c>
      <c r="AC4" s="108">
        <v>200</v>
      </c>
    </row>
    <row r="5" spans="1:29" ht="19.5" customHeight="1" x14ac:dyDescent="0.25">
      <c r="A5" s="46">
        <v>333333</v>
      </c>
      <c r="B5" s="3">
        <v>41424</v>
      </c>
      <c r="C5" s="2" t="s">
        <v>66</v>
      </c>
      <c r="D5" s="2" t="s">
        <v>62</v>
      </c>
      <c r="E5" s="5">
        <v>41244</v>
      </c>
      <c r="F5" s="24">
        <v>40000</v>
      </c>
      <c r="G5" s="25">
        <v>95000</v>
      </c>
      <c r="H5" s="25">
        <v>1000</v>
      </c>
      <c r="I5" s="25">
        <v>15000</v>
      </c>
      <c r="J5" s="25">
        <v>25000</v>
      </c>
      <c r="K5" s="25">
        <v>5000</v>
      </c>
      <c r="L5" s="25">
        <v>85000</v>
      </c>
      <c r="M5" s="25">
        <v>260000</v>
      </c>
      <c r="N5" s="25">
        <v>550000</v>
      </c>
      <c r="O5" s="25">
        <v>240000</v>
      </c>
      <c r="P5" s="25">
        <v>39000</v>
      </c>
      <c r="Q5" s="25">
        <v>25000</v>
      </c>
      <c r="R5" s="25">
        <v>24000</v>
      </c>
      <c r="S5" s="4">
        <v>52.712435390696257</v>
      </c>
      <c r="T5" s="4">
        <v>108.08361204013379</v>
      </c>
      <c r="U5" s="4">
        <v>50.862876254180605</v>
      </c>
      <c r="V5" s="26">
        <v>0.36538461538461536</v>
      </c>
      <c r="W5" s="26">
        <v>5.7692307692307696E-2</v>
      </c>
      <c r="X5" s="26">
        <v>2</v>
      </c>
      <c r="Y5" s="27">
        <v>4.363636363636364E-2</v>
      </c>
      <c r="Z5" s="26">
        <v>0.96</v>
      </c>
      <c r="AA5" s="25">
        <v>64000</v>
      </c>
      <c r="AB5" s="27">
        <v>4.5454545454545456E-2</v>
      </c>
      <c r="AC5" s="25">
        <v>1000</v>
      </c>
    </row>
    <row r="6" spans="1:29" ht="19.5" customHeight="1" x14ac:dyDescent="0.25">
      <c r="A6" s="47">
        <v>333333</v>
      </c>
      <c r="B6" s="30">
        <v>41424</v>
      </c>
      <c r="C6" s="31" t="s">
        <v>66</v>
      </c>
      <c r="D6" s="31" t="s">
        <v>62</v>
      </c>
      <c r="E6" s="32">
        <v>40878</v>
      </c>
      <c r="F6" s="33">
        <v>50000</v>
      </c>
      <c r="G6" s="34">
        <v>80000</v>
      </c>
      <c r="H6" s="34">
        <v>750</v>
      </c>
      <c r="I6" s="34">
        <v>15000</v>
      </c>
      <c r="J6" s="34">
        <v>20000</v>
      </c>
      <c r="K6" s="34">
        <v>5000</v>
      </c>
      <c r="L6" s="34">
        <v>70000</v>
      </c>
      <c r="M6" s="34">
        <v>250000</v>
      </c>
      <c r="N6" s="34">
        <v>500000</v>
      </c>
      <c r="O6" s="34">
        <v>250000</v>
      </c>
      <c r="P6" s="34">
        <v>35000</v>
      </c>
      <c r="Q6" s="34">
        <v>15000</v>
      </c>
      <c r="R6" s="34">
        <v>25000</v>
      </c>
      <c r="S6" s="35">
        <v>48.828361204013376</v>
      </c>
      <c r="T6" s="35">
        <v>85.449632107023405</v>
      </c>
      <c r="U6" s="35">
        <v>61.035451505016724</v>
      </c>
      <c r="V6" s="36">
        <v>0.32</v>
      </c>
      <c r="W6" s="36">
        <v>0.06</v>
      </c>
      <c r="X6" s="36">
        <v>1.6666666666666667</v>
      </c>
      <c r="Y6" s="37">
        <v>0.05</v>
      </c>
      <c r="Z6" s="36">
        <v>1.6666666666666667</v>
      </c>
      <c r="AA6" s="34">
        <v>50000</v>
      </c>
      <c r="AB6" s="37">
        <v>0.03</v>
      </c>
      <c r="AC6" s="34">
        <v>750</v>
      </c>
    </row>
    <row r="7" spans="1:29" ht="19.5" customHeight="1" x14ac:dyDescent="0.25">
      <c r="A7" s="29"/>
      <c r="B7" s="29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</row>
    <row r="8" spans="1:29" ht="19.5" customHeight="1" x14ac:dyDescent="0.25"/>
  </sheetData>
  <sortState ref="A2:AC8">
    <sortCondition ref="A2:A8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5"/>
  <sheetViews>
    <sheetView workbookViewId="0">
      <selection activeCell="O8" sqref="O8"/>
    </sheetView>
  </sheetViews>
  <sheetFormatPr baseColWidth="10" defaultRowHeight="15" x14ac:dyDescent="0.25"/>
  <cols>
    <col min="1" max="1" width="11.85546875" customWidth="1"/>
    <col min="2" max="2" width="14.7109375" customWidth="1"/>
    <col min="3" max="3" width="26" customWidth="1"/>
    <col min="4" max="4" width="17.42578125" customWidth="1"/>
    <col min="5" max="5" width="23.7109375" customWidth="1"/>
    <col min="6" max="6" width="15" customWidth="1"/>
    <col min="7" max="7" width="13.140625" customWidth="1"/>
    <col min="8" max="8" width="14.5703125" customWidth="1"/>
    <col min="9" max="9" width="28.140625" customWidth="1"/>
    <col min="10" max="10" width="18.140625" customWidth="1"/>
    <col min="11" max="11" width="19" customWidth="1"/>
    <col min="12" max="13" width="12.5703125" customWidth="1"/>
    <col min="14" max="14" width="12.28515625" customWidth="1"/>
  </cols>
  <sheetData>
    <row r="1" spans="1:14" ht="31.5" customHeight="1" thickBot="1" x14ac:dyDescent="0.3">
      <c r="A1" s="49" t="s">
        <v>2</v>
      </c>
      <c r="B1" s="49" t="s">
        <v>17</v>
      </c>
      <c r="C1" s="49" t="s">
        <v>18</v>
      </c>
      <c r="D1" s="49" t="s">
        <v>60</v>
      </c>
      <c r="E1" s="49" t="s">
        <v>61</v>
      </c>
      <c r="F1" s="50" t="s">
        <v>41</v>
      </c>
      <c r="G1" s="50" t="s">
        <v>43</v>
      </c>
      <c r="H1" s="50" t="s">
        <v>42</v>
      </c>
      <c r="I1" s="50" t="s">
        <v>45</v>
      </c>
      <c r="J1" s="50" t="s">
        <v>47</v>
      </c>
      <c r="K1" s="50" t="s">
        <v>46</v>
      </c>
      <c r="L1" s="50" t="s">
        <v>4</v>
      </c>
      <c r="M1" s="50" t="s">
        <v>44</v>
      </c>
      <c r="N1" s="50" t="s">
        <v>24</v>
      </c>
    </row>
    <row r="2" spans="1:14" x14ac:dyDescent="0.25">
      <c r="A2" s="48" t="s">
        <v>53</v>
      </c>
      <c r="B2" s="30">
        <v>41259</v>
      </c>
      <c r="C2" s="31" t="s">
        <v>22</v>
      </c>
      <c r="D2" s="31">
        <v>44</v>
      </c>
      <c r="E2" s="31">
        <v>38</v>
      </c>
      <c r="F2" s="31">
        <v>125</v>
      </c>
      <c r="G2" s="120">
        <v>0.4</v>
      </c>
      <c r="H2" s="120">
        <v>0.12</v>
      </c>
      <c r="I2" s="120">
        <v>0.74</v>
      </c>
      <c r="J2" s="120">
        <v>0.25</v>
      </c>
      <c r="K2" s="120">
        <v>0.01</v>
      </c>
      <c r="L2" s="31">
        <v>25000</v>
      </c>
      <c r="M2" s="121">
        <v>0.02</v>
      </c>
      <c r="N2" s="31">
        <v>150</v>
      </c>
    </row>
    <row r="3" spans="1:14" x14ac:dyDescent="0.25">
      <c r="A3" s="7" t="s">
        <v>62</v>
      </c>
      <c r="B3" s="3">
        <v>41259</v>
      </c>
      <c r="C3" s="2" t="s">
        <v>20</v>
      </c>
      <c r="D3" s="2">
        <v>68</v>
      </c>
      <c r="E3" s="2">
        <v>84</v>
      </c>
      <c r="F3" s="2">
        <v>85</v>
      </c>
      <c r="G3" s="120">
        <v>0.4</v>
      </c>
      <c r="H3" s="120">
        <v>0.12</v>
      </c>
      <c r="I3" s="120">
        <v>0.74</v>
      </c>
      <c r="J3" s="120">
        <v>0.25</v>
      </c>
      <c r="K3" s="120">
        <v>0.01</v>
      </c>
      <c r="L3" s="31">
        <v>25000</v>
      </c>
      <c r="M3" s="121">
        <v>0.02</v>
      </c>
      <c r="N3" s="31">
        <v>150</v>
      </c>
    </row>
    <row r="4" spans="1:14" x14ac:dyDescent="0.25">
      <c r="A4" s="7" t="s">
        <v>51</v>
      </c>
      <c r="B4" s="3">
        <v>41259</v>
      </c>
      <c r="C4" s="2" t="s">
        <v>21</v>
      </c>
      <c r="D4" s="2">
        <v>39</v>
      </c>
      <c r="E4" s="2">
        <v>36</v>
      </c>
      <c r="F4" s="2">
        <v>69</v>
      </c>
      <c r="G4" s="120">
        <v>0.4</v>
      </c>
      <c r="H4" s="120">
        <v>0.12</v>
      </c>
      <c r="I4" s="120">
        <v>0.74</v>
      </c>
      <c r="J4" s="120">
        <v>0.25</v>
      </c>
      <c r="K4" s="120">
        <v>0.01</v>
      </c>
      <c r="L4" s="31">
        <v>25000</v>
      </c>
      <c r="M4" s="121">
        <v>0.02</v>
      </c>
      <c r="N4" s="31">
        <v>150</v>
      </c>
    </row>
    <row r="5" spans="1:14" x14ac:dyDescent="0.25">
      <c r="A5" s="7" t="s">
        <v>63</v>
      </c>
      <c r="B5" s="3">
        <v>41259</v>
      </c>
      <c r="C5" s="2" t="s">
        <v>19</v>
      </c>
      <c r="D5" s="2">
        <v>75</v>
      </c>
      <c r="E5" s="2">
        <v>65</v>
      </c>
      <c r="F5" s="2">
        <v>140</v>
      </c>
      <c r="G5" s="120">
        <v>0.4</v>
      </c>
      <c r="H5" s="120">
        <v>0.12</v>
      </c>
      <c r="I5" s="120">
        <v>0.74</v>
      </c>
      <c r="J5" s="120">
        <v>0.25</v>
      </c>
      <c r="K5" s="120">
        <v>0.01</v>
      </c>
      <c r="L5" s="31">
        <v>25000</v>
      </c>
      <c r="M5" s="121">
        <v>0.02</v>
      </c>
      <c r="N5" s="31">
        <v>150</v>
      </c>
    </row>
  </sheetData>
  <sortState ref="A2:E6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C34"/>
  <sheetViews>
    <sheetView workbookViewId="0">
      <selection activeCell="H20" sqref="H20"/>
    </sheetView>
  </sheetViews>
  <sheetFormatPr baseColWidth="10" defaultRowHeight="15" x14ac:dyDescent="0.25"/>
  <cols>
    <col min="1" max="2" width="13.7109375" customWidth="1"/>
    <col min="3" max="3" width="12.7109375" customWidth="1"/>
    <col min="5" max="5" width="16.7109375" customWidth="1"/>
    <col min="6" max="6" width="14.28515625" bestFit="1" customWidth="1"/>
    <col min="8" max="8" width="15.7109375" customWidth="1"/>
    <col min="9" max="9" width="15.85546875" customWidth="1"/>
    <col min="13" max="13" width="13.28515625" customWidth="1"/>
    <col min="14" max="14" width="13" customWidth="1"/>
    <col min="19" max="19" width="12.42578125" customWidth="1"/>
    <col min="22" max="22" width="12.140625" customWidth="1"/>
    <col min="23" max="23" width="14.7109375" customWidth="1"/>
    <col min="24" max="24" width="12.85546875" customWidth="1"/>
    <col min="25" max="25" width="12.7109375" customWidth="1"/>
    <col min="26" max="26" width="11.85546875" customWidth="1"/>
    <col min="28" max="28" width="12.140625" customWidth="1"/>
    <col min="29" max="29" width="11.7109375" customWidth="1"/>
  </cols>
  <sheetData>
    <row r="1" spans="1:29" ht="31.5" customHeight="1" x14ac:dyDescent="0.25">
      <c r="A1" s="15" t="s">
        <v>9</v>
      </c>
      <c r="B1" s="15" t="s">
        <v>0</v>
      </c>
      <c r="C1" s="15" t="s">
        <v>1</v>
      </c>
      <c r="D1" s="15" t="s">
        <v>2</v>
      </c>
      <c r="E1" s="15" t="s">
        <v>3</v>
      </c>
      <c r="F1" s="15" t="s">
        <v>5</v>
      </c>
      <c r="G1" s="15" t="s">
        <v>23</v>
      </c>
      <c r="H1" s="15" t="s">
        <v>24</v>
      </c>
      <c r="I1" s="15" t="s">
        <v>25</v>
      </c>
      <c r="J1" s="15" t="s">
        <v>27</v>
      </c>
      <c r="K1" s="15" t="s">
        <v>34</v>
      </c>
      <c r="L1" s="15" t="s">
        <v>29</v>
      </c>
      <c r="M1" s="15" t="s">
        <v>7</v>
      </c>
      <c r="N1" s="15" t="s">
        <v>30</v>
      </c>
      <c r="O1" s="15" t="s">
        <v>6</v>
      </c>
      <c r="P1" s="15" t="s">
        <v>37</v>
      </c>
      <c r="Q1" s="15" t="s">
        <v>32</v>
      </c>
      <c r="R1" s="15" t="s">
        <v>33</v>
      </c>
      <c r="S1" s="15" t="s">
        <v>39</v>
      </c>
      <c r="T1" s="15" t="s">
        <v>40</v>
      </c>
      <c r="U1" s="18" t="s">
        <v>41</v>
      </c>
      <c r="V1" s="18" t="s">
        <v>43</v>
      </c>
      <c r="W1" s="18" t="s">
        <v>42</v>
      </c>
      <c r="X1" s="18" t="s">
        <v>45</v>
      </c>
      <c r="Y1" s="18" t="s">
        <v>47</v>
      </c>
      <c r="Z1" s="18" t="s">
        <v>46</v>
      </c>
      <c r="AA1" s="18" t="s">
        <v>4</v>
      </c>
      <c r="AB1" s="18" t="s">
        <v>44</v>
      </c>
      <c r="AC1" s="18" t="s">
        <v>24</v>
      </c>
    </row>
    <row r="2" spans="1:29" ht="16.5" customHeight="1" x14ac:dyDescent="0.25">
      <c r="A2" s="22">
        <f>F9</f>
        <v>0</v>
      </c>
      <c r="B2" s="6">
        <f ca="1">F7</f>
        <v>41424</v>
      </c>
      <c r="C2" s="7" t="str">
        <f>UPPER(F10)</f>
        <v/>
      </c>
      <c r="D2" s="7" t="str">
        <f>UPPER(F11)</f>
        <v/>
      </c>
      <c r="E2" s="8">
        <f>F12</f>
        <v>0</v>
      </c>
      <c r="F2" s="16">
        <f>F13</f>
        <v>0</v>
      </c>
      <c r="G2" s="17">
        <f>F14</f>
        <v>0</v>
      </c>
      <c r="H2" s="17">
        <f>F15</f>
        <v>0</v>
      </c>
      <c r="I2" s="17">
        <f>F16</f>
        <v>0</v>
      </c>
      <c r="J2" s="17">
        <f>F17</f>
        <v>0</v>
      </c>
      <c r="K2" s="17">
        <f>F18</f>
        <v>0</v>
      </c>
      <c r="L2" s="17">
        <f>F19</f>
        <v>0</v>
      </c>
      <c r="M2" s="17">
        <f>F20</f>
        <v>0</v>
      </c>
      <c r="N2" s="17">
        <f>F21</f>
        <v>0</v>
      </c>
      <c r="O2" s="17">
        <f>F22</f>
        <v>0</v>
      </c>
      <c r="P2" s="17">
        <f>F23</f>
        <v>0</v>
      </c>
      <c r="Q2" s="17">
        <f>F24</f>
        <v>0</v>
      </c>
      <c r="R2" s="17">
        <f>F25</f>
        <v>0</v>
      </c>
      <c r="S2" s="4" t="str">
        <f>IF(F21=0,"",F14/(F21*1.196)*I5*30.416)</f>
        <v/>
      </c>
      <c r="T2" s="4" t="str">
        <f>IF(F22=0,"",F19/(F22*1.196)*I5*30.416)</f>
        <v/>
      </c>
      <c r="U2" s="4" t="str">
        <f>IF(F22=0,"",F13/(F22*1.196)*I5*30.416)</f>
        <v/>
      </c>
      <c r="V2" s="19" t="str">
        <f>IF(F20=0,"",F14/F20)</f>
        <v/>
      </c>
      <c r="W2" s="19" t="str">
        <f>IF(F20=0,"",F16/F20)</f>
        <v/>
      </c>
      <c r="X2" s="19" t="str">
        <f>IF(F16=0,"",(F17+F18)/F16)</f>
        <v/>
      </c>
      <c r="Y2" s="23" t="str">
        <f>IF(F21=0,"",F25/F21)</f>
        <v/>
      </c>
      <c r="Z2" s="19" t="str">
        <f>IF(F24=0,"",F25/F24)</f>
        <v/>
      </c>
      <c r="AA2" s="17">
        <f>F24+F23</f>
        <v>0</v>
      </c>
      <c r="AB2" s="23" t="str">
        <f>IF(F21=0,"",F24/F21)</f>
        <v/>
      </c>
      <c r="AC2" s="17">
        <f>F15</f>
        <v>0</v>
      </c>
    </row>
    <row r="3" spans="1:29" ht="26.25" x14ac:dyDescent="0.4">
      <c r="A3" s="9" t="s">
        <v>10</v>
      </c>
    </row>
    <row r="4" spans="1:29" ht="15.75" thickBot="1" x14ac:dyDescent="0.3"/>
    <row r="5" spans="1:29" ht="33" customHeight="1" thickBot="1" x14ac:dyDescent="0.3">
      <c r="H5" s="1" t="s">
        <v>8</v>
      </c>
      <c r="I5" s="14">
        <v>12</v>
      </c>
    </row>
    <row r="6" spans="1:29" ht="15.75" thickBot="1" x14ac:dyDescent="0.3"/>
    <row r="7" spans="1:29" ht="16.5" thickBot="1" x14ac:dyDescent="0.3">
      <c r="D7" s="53" t="s">
        <v>0</v>
      </c>
      <c r="E7" s="54"/>
      <c r="F7" s="12">
        <f ca="1">TODAY()</f>
        <v>41424</v>
      </c>
    </row>
    <row r="8" spans="1:29" ht="15.75" thickBot="1" x14ac:dyDescent="0.3">
      <c r="F8" s="13"/>
    </row>
    <row r="9" spans="1:29" ht="15.75" x14ac:dyDescent="0.25">
      <c r="D9" s="51" t="s">
        <v>9</v>
      </c>
      <c r="E9" s="52"/>
      <c r="F9" s="21"/>
    </row>
    <row r="10" spans="1:29" ht="15.75" x14ac:dyDescent="0.25">
      <c r="D10" s="55" t="s">
        <v>1</v>
      </c>
      <c r="E10" s="56"/>
      <c r="F10" s="31"/>
    </row>
    <row r="11" spans="1:29" ht="15.75" x14ac:dyDescent="0.25">
      <c r="D11" s="55" t="s">
        <v>2</v>
      </c>
      <c r="E11" s="56"/>
      <c r="F11" s="31"/>
    </row>
    <row r="12" spans="1:29" ht="16.5" thickBot="1" x14ac:dyDescent="0.3">
      <c r="D12" s="57" t="s">
        <v>3</v>
      </c>
      <c r="E12" s="58"/>
      <c r="F12" s="32"/>
      <c r="I12" t="s">
        <v>48</v>
      </c>
    </row>
    <row r="13" spans="1:29" ht="16.5" thickTop="1" x14ac:dyDescent="0.25">
      <c r="D13" s="61" t="s">
        <v>49</v>
      </c>
      <c r="E13" s="62"/>
      <c r="F13" s="33"/>
      <c r="I13" t="s">
        <v>50</v>
      </c>
    </row>
    <row r="14" spans="1:29" ht="15.75" x14ac:dyDescent="0.25">
      <c r="D14" s="63" t="s">
        <v>23</v>
      </c>
      <c r="E14" s="64"/>
      <c r="F14" s="34"/>
    </row>
    <row r="15" spans="1:29" ht="15.75" x14ac:dyDescent="0.25">
      <c r="D15" s="55" t="s">
        <v>36</v>
      </c>
      <c r="E15" s="56"/>
      <c r="F15" s="34"/>
    </row>
    <row r="16" spans="1:29" ht="15.75" x14ac:dyDescent="0.25">
      <c r="D16" s="55" t="s">
        <v>25</v>
      </c>
      <c r="E16" s="56"/>
      <c r="F16" s="34"/>
      <c r="I16" t="s">
        <v>26</v>
      </c>
    </row>
    <row r="17" spans="4:13" ht="15.75" x14ac:dyDescent="0.25">
      <c r="D17" s="55" t="s">
        <v>27</v>
      </c>
      <c r="E17" s="56"/>
      <c r="F17" s="34"/>
    </row>
    <row r="18" spans="4:13" ht="15.75" x14ac:dyDescent="0.25">
      <c r="D18" s="55" t="s">
        <v>28</v>
      </c>
      <c r="E18" s="56"/>
      <c r="F18" s="34"/>
    </row>
    <row r="19" spans="4:13" ht="15.75" x14ac:dyDescent="0.25">
      <c r="D19" s="55" t="s">
        <v>29</v>
      </c>
      <c r="E19" s="56"/>
      <c r="F19" s="34"/>
      <c r="M19" s="105" t="s">
        <v>65</v>
      </c>
    </row>
    <row r="20" spans="4:13" ht="15.75" x14ac:dyDescent="0.25">
      <c r="D20" s="55" t="s">
        <v>7</v>
      </c>
      <c r="E20" s="56"/>
      <c r="F20" s="34"/>
      <c r="M20" s="105" t="s">
        <v>51</v>
      </c>
    </row>
    <row r="21" spans="4:13" ht="15.75" x14ac:dyDescent="0.25">
      <c r="D21" s="55" t="s">
        <v>30</v>
      </c>
      <c r="E21" s="56"/>
      <c r="F21" s="34"/>
      <c r="M21" s="106">
        <v>40878</v>
      </c>
    </row>
    <row r="22" spans="4:13" ht="15.75" x14ac:dyDescent="0.25">
      <c r="D22" s="55" t="s">
        <v>35</v>
      </c>
      <c r="E22" s="56"/>
      <c r="F22" s="34"/>
      <c r="I22" t="s">
        <v>38</v>
      </c>
      <c r="M22" s="107">
        <v>1500000</v>
      </c>
    </row>
    <row r="23" spans="4:13" ht="15.75" x14ac:dyDescent="0.25">
      <c r="D23" s="55" t="s">
        <v>31</v>
      </c>
      <c r="E23" s="56"/>
      <c r="F23" s="34"/>
      <c r="M23" s="108">
        <v>1600000</v>
      </c>
    </row>
    <row r="24" spans="4:13" ht="15.75" x14ac:dyDescent="0.25">
      <c r="D24" s="55" t="s">
        <v>32</v>
      </c>
      <c r="E24" s="56"/>
      <c r="F24" s="34"/>
      <c r="M24" s="108">
        <v>200</v>
      </c>
    </row>
    <row r="25" spans="4:13" ht="16.5" thickBot="1" x14ac:dyDescent="0.3">
      <c r="D25" s="59" t="s">
        <v>33</v>
      </c>
      <c r="E25" s="60"/>
      <c r="F25" s="34"/>
      <c r="M25" s="108">
        <v>1000000</v>
      </c>
    </row>
    <row r="26" spans="4:13" x14ac:dyDescent="0.25">
      <c r="M26" s="108">
        <v>735000</v>
      </c>
    </row>
    <row r="27" spans="4:13" x14ac:dyDescent="0.25">
      <c r="M27" s="108">
        <v>0</v>
      </c>
    </row>
    <row r="28" spans="4:13" x14ac:dyDescent="0.25">
      <c r="M28" s="108">
        <v>1200000</v>
      </c>
    </row>
    <row r="29" spans="4:13" x14ac:dyDescent="0.25">
      <c r="M29" s="108">
        <v>4600000</v>
      </c>
    </row>
    <row r="30" spans="4:13" x14ac:dyDescent="0.25">
      <c r="M30" s="108">
        <v>11000000</v>
      </c>
    </row>
    <row r="31" spans="4:13" x14ac:dyDescent="0.25">
      <c r="M31" s="108">
        <v>4900000</v>
      </c>
    </row>
    <row r="32" spans="4:13" x14ac:dyDescent="0.25">
      <c r="M32" s="108">
        <v>265000</v>
      </c>
    </row>
    <row r="33" spans="13:13" x14ac:dyDescent="0.25">
      <c r="M33" s="108">
        <v>60000</v>
      </c>
    </row>
    <row r="34" spans="13:13" x14ac:dyDescent="0.25">
      <c r="M34" s="108">
        <v>58000</v>
      </c>
    </row>
  </sheetData>
  <mergeCells count="18">
    <mergeCell ref="D13:E13"/>
    <mergeCell ref="D21:E21"/>
    <mergeCell ref="D22:E22"/>
    <mergeCell ref="D23:E23"/>
    <mergeCell ref="D24:E24"/>
    <mergeCell ref="D14:E14"/>
    <mergeCell ref="D25:E25"/>
    <mergeCell ref="D15:E15"/>
    <mergeCell ref="D16:E16"/>
    <mergeCell ref="D17:E17"/>
    <mergeCell ref="D18:E18"/>
    <mergeCell ref="D19:E19"/>
    <mergeCell ref="D20:E20"/>
    <mergeCell ref="D9:E9"/>
    <mergeCell ref="D7:E7"/>
    <mergeCell ref="D10:E10"/>
    <mergeCell ref="D11:E11"/>
    <mergeCell ref="D12:E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7</xdr:col>
                    <xdr:colOff>0</xdr:colOff>
                    <xdr:row>8</xdr:row>
                    <xdr:rowOff>28575</xdr:rowOff>
                  </from>
                  <to>
                    <xdr:col>8</xdr:col>
                    <xdr:colOff>28575</xdr:colOff>
                    <xdr:row>9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32"/>
  <sheetViews>
    <sheetView tabSelected="1" workbookViewId="0">
      <selection activeCell="E4" sqref="E4"/>
    </sheetView>
  </sheetViews>
  <sheetFormatPr baseColWidth="10" defaultRowHeight="15" x14ac:dyDescent="0.25"/>
  <cols>
    <col min="1" max="1" width="11.5703125" style="11"/>
    <col min="2" max="2" width="21" customWidth="1"/>
    <col min="3" max="3" width="12.85546875" customWidth="1"/>
    <col min="4" max="4" width="15.85546875" customWidth="1"/>
    <col min="7" max="7" width="14.28515625" customWidth="1"/>
    <col min="8" max="8" width="13.140625" customWidth="1"/>
    <col min="11" max="11" width="16.140625" customWidth="1"/>
    <col min="12" max="12" width="15.42578125" customWidth="1"/>
  </cols>
  <sheetData>
    <row r="1" spans="1:12" ht="26.25" x14ac:dyDescent="0.4">
      <c r="A1" s="20" t="s">
        <v>16</v>
      </c>
    </row>
    <row r="2" spans="1:12" x14ac:dyDescent="0.25">
      <c r="A2" s="11" t="s">
        <v>52</v>
      </c>
    </row>
    <row r="6" spans="1:12" ht="14.25" customHeight="1" thickBot="1" x14ac:dyDescent="0.3"/>
    <row r="7" spans="1:12" ht="15.75" customHeight="1" x14ac:dyDescent="0.25">
      <c r="B7" s="69" t="s">
        <v>11</v>
      </c>
      <c r="C7" s="71">
        <v>222222</v>
      </c>
      <c r="G7" s="73" t="s">
        <v>12</v>
      </c>
      <c r="H7" s="91" t="str">
        <f>IFERROR(VLOOKUP(C10,'Ratio median'!1:1048576,3),"")</f>
        <v>Industrie lourde</v>
      </c>
      <c r="I7" s="92"/>
      <c r="J7" s="93"/>
    </row>
    <row r="8" spans="1:12" ht="24.75" customHeight="1" thickBot="1" x14ac:dyDescent="0.3">
      <c r="B8" s="70"/>
      <c r="C8" s="72"/>
      <c r="G8" s="74"/>
      <c r="H8" s="94"/>
      <c r="I8" s="95"/>
      <c r="J8" s="96"/>
    </row>
    <row r="9" spans="1:12" ht="18.75" x14ac:dyDescent="0.25">
      <c r="B9" s="42" t="s">
        <v>1</v>
      </c>
      <c r="C9" s="38" t="str">
        <f>IFERROR(VLOOKUP(C7,BD!1:1048576,3),"")</f>
        <v>ABBOTT</v>
      </c>
    </row>
    <row r="10" spans="1:12" ht="18.75" x14ac:dyDescent="0.25">
      <c r="B10" s="43" t="s">
        <v>2</v>
      </c>
      <c r="C10" s="39" t="str">
        <f>IFERROR(VLOOKUP(C7,BD!1:1048576,4),"")</f>
        <v>1258A</v>
      </c>
    </row>
    <row r="11" spans="1:12" ht="18.75" x14ac:dyDescent="0.25">
      <c r="B11" s="43" t="s">
        <v>13</v>
      </c>
      <c r="C11" s="40" t="s">
        <v>52</v>
      </c>
    </row>
    <row r="12" spans="1:12" ht="19.5" thickBot="1" x14ac:dyDescent="0.3">
      <c r="B12" s="44" t="s">
        <v>54</v>
      </c>
      <c r="C12" s="45">
        <f>COUNTIF(BD!A:A,Consultation!C7)</f>
        <v>2</v>
      </c>
      <c r="E12" s="41" t="str">
        <f>IF(C12&gt;1,"Comparaison Possible !","")</f>
        <v>Comparaison Possible !</v>
      </c>
      <c r="F12" s="10"/>
    </row>
    <row r="13" spans="1:12" ht="15" customHeight="1" x14ac:dyDescent="0.25"/>
    <row r="14" spans="1:12" ht="15.75" customHeight="1" x14ac:dyDescent="0.25"/>
    <row r="16" spans="1:12" x14ac:dyDescent="0.25">
      <c r="L16" t="s">
        <v>75</v>
      </c>
    </row>
    <row r="18" spans="3:16" ht="19.5" thickBot="1" x14ac:dyDescent="0.35">
      <c r="L18" s="123" t="s">
        <v>67</v>
      </c>
    </row>
    <row r="19" spans="3:16" ht="18" customHeight="1" x14ac:dyDescent="0.25">
      <c r="E19" s="79" t="s">
        <v>14</v>
      </c>
      <c r="F19" s="80"/>
      <c r="G19" s="75" t="s">
        <v>15</v>
      </c>
      <c r="H19" s="76"/>
    </row>
    <row r="20" spans="3:16" ht="18" customHeight="1" thickBot="1" x14ac:dyDescent="0.3">
      <c r="E20" s="81"/>
      <c r="F20" s="82"/>
      <c r="G20" s="77"/>
      <c r="H20" s="78"/>
      <c r="K20" s="2"/>
      <c r="L20" s="122" t="s">
        <v>71</v>
      </c>
      <c r="M20" s="122"/>
      <c r="N20" s="122"/>
    </row>
    <row r="21" spans="3:16" ht="15.75" x14ac:dyDescent="0.25">
      <c r="C21" s="65" t="s">
        <v>55</v>
      </c>
      <c r="D21" s="66"/>
      <c r="E21" s="83">
        <f>IF(ISBLANK(C7),"",44.3894192763758)</f>
        <v>44.389419276375797</v>
      </c>
      <c r="F21" s="84"/>
      <c r="G21" s="87">
        <f>IFERROR(VLOOKUP(C10,'Ratio median'!1:1048576,4),"")</f>
        <v>39</v>
      </c>
      <c r="H21" s="88"/>
      <c r="K21" s="2"/>
      <c r="L21" s="2" t="s">
        <v>68</v>
      </c>
      <c r="M21" s="2" t="s">
        <v>69</v>
      </c>
      <c r="N21" s="2" t="s">
        <v>70</v>
      </c>
      <c r="P21" t="s">
        <v>72</v>
      </c>
    </row>
    <row r="22" spans="3:16" ht="15.75" x14ac:dyDescent="0.25">
      <c r="C22" s="67" t="s">
        <v>56</v>
      </c>
      <c r="D22" s="68"/>
      <c r="E22" s="85">
        <f>IF(ISBLANK(C7),"",74.7372875571633)</f>
        <v>74.737287557163299</v>
      </c>
      <c r="F22" s="86"/>
      <c r="G22" s="89">
        <f>IFERROR(VLOOKUP(C10,'Ratio median'!1:1048576,5),"")</f>
        <v>36</v>
      </c>
      <c r="H22" s="90"/>
      <c r="K22" s="2" t="s">
        <v>55</v>
      </c>
      <c r="L22" s="2"/>
      <c r="M22" s="2"/>
      <c r="N22" s="2"/>
    </row>
    <row r="23" spans="3:16" ht="15.75" x14ac:dyDescent="0.25">
      <c r="C23" s="99" t="s">
        <v>41</v>
      </c>
      <c r="D23" s="100"/>
      <c r="E23" s="101">
        <f>IF(ISBLANK(C7),"",93.4216094464542)</f>
        <v>93.421609446454198</v>
      </c>
      <c r="F23" s="102"/>
      <c r="G23" s="89"/>
      <c r="H23" s="90"/>
      <c r="K23" s="2" t="s">
        <v>56</v>
      </c>
      <c r="L23" s="2"/>
      <c r="M23" s="2"/>
      <c r="N23" s="2"/>
      <c r="P23" t="s">
        <v>73</v>
      </c>
    </row>
    <row r="24" spans="3:16" ht="15.75" x14ac:dyDescent="0.25">
      <c r="C24" s="67" t="s">
        <v>57</v>
      </c>
      <c r="D24" s="68"/>
      <c r="E24" s="112">
        <f>IF(ISBLANK(C7),"",0.347826086956522)</f>
        <v>0.34782608695652201</v>
      </c>
      <c r="F24" s="113"/>
      <c r="G24" s="89"/>
      <c r="H24" s="90"/>
      <c r="K24" s="2" t="s">
        <v>41</v>
      </c>
      <c r="L24" s="2"/>
      <c r="M24" s="2"/>
      <c r="N24" s="2"/>
    </row>
    <row r="25" spans="3:16" ht="15.75" x14ac:dyDescent="0.25">
      <c r="C25" s="67" t="s">
        <v>42</v>
      </c>
      <c r="D25" s="68"/>
      <c r="E25" s="112">
        <f>IF(ISBLANK(C7),"",0.217391304347826)</f>
        <v>0.217391304347826</v>
      </c>
      <c r="F25" s="113"/>
      <c r="G25" s="89"/>
      <c r="H25" s="90"/>
      <c r="K25" s="2" t="s">
        <v>57</v>
      </c>
      <c r="L25" s="2"/>
      <c r="M25" s="2"/>
      <c r="N25" s="2"/>
      <c r="P25" t="s">
        <v>74</v>
      </c>
    </row>
    <row r="26" spans="3:16" ht="15.75" x14ac:dyDescent="0.25">
      <c r="C26" s="67" t="s">
        <v>58</v>
      </c>
      <c r="D26" s="68"/>
      <c r="E26" s="112">
        <f>IF(ISBLANK(C7),"",0.735)</f>
        <v>0.73499999999999999</v>
      </c>
      <c r="F26" s="113"/>
      <c r="G26" s="89"/>
      <c r="H26" s="90"/>
      <c r="K26" s="2" t="s">
        <v>42</v>
      </c>
      <c r="L26" s="2"/>
      <c r="M26" s="2"/>
      <c r="N26" s="2"/>
    </row>
    <row r="27" spans="3:16" ht="15.75" x14ac:dyDescent="0.25">
      <c r="C27" s="67" t="s">
        <v>47</v>
      </c>
      <c r="D27" s="68"/>
      <c r="E27" s="114">
        <f>IF(ISBLANK(C7),"",0.00527272727272727)</f>
        <v>5.2727272727272701E-3</v>
      </c>
      <c r="F27" s="115"/>
      <c r="G27" s="89"/>
      <c r="H27" s="90"/>
      <c r="K27" s="2" t="s">
        <v>58</v>
      </c>
      <c r="L27" s="2"/>
      <c r="M27" s="2"/>
      <c r="N27" s="2"/>
    </row>
    <row r="28" spans="3:16" ht="15.75" x14ac:dyDescent="0.25">
      <c r="C28" s="67" t="s">
        <v>46</v>
      </c>
      <c r="D28" s="68"/>
      <c r="E28" s="112">
        <f>IF(ISBLANK(C7),"",0.966666666666667)</f>
        <v>0.96666666666666701</v>
      </c>
      <c r="F28" s="113"/>
      <c r="G28" s="89"/>
      <c r="H28" s="90"/>
      <c r="K28" s="2" t="s">
        <v>47</v>
      </c>
      <c r="L28" s="2"/>
      <c r="M28" s="2"/>
      <c r="N28" s="2"/>
    </row>
    <row r="29" spans="3:16" ht="15.75" x14ac:dyDescent="0.25">
      <c r="C29" s="67" t="s">
        <v>4</v>
      </c>
      <c r="D29" s="68"/>
      <c r="E29" s="118">
        <f>IF(ISBLANK(C7),"",325000)</f>
        <v>325000</v>
      </c>
      <c r="F29" s="119"/>
      <c r="G29" s="89"/>
      <c r="H29" s="90"/>
      <c r="K29" s="2" t="s">
        <v>46</v>
      </c>
      <c r="L29" s="2"/>
      <c r="M29" s="2"/>
      <c r="N29" s="2"/>
    </row>
    <row r="30" spans="3:16" ht="15.75" x14ac:dyDescent="0.25">
      <c r="C30" s="67" t="s">
        <v>59</v>
      </c>
      <c r="D30" s="68"/>
      <c r="E30" s="114">
        <f>IF(ISBLANK(C7),"",0.00545454545454546)</f>
        <v>5.4545454545454602E-3</v>
      </c>
      <c r="F30" s="115"/>
      <c r="G30" s="89"/>
      <c r="H30" s="90"/>
      <c r="K30" s="2" t="s">
        <v>4</v>
      </c>
      <c r="L30" s="2"/>
      <c r="M30" s="2"/>
      <c r="N30" s="2"/>
    </row>
    <row r="31" spans="3:16" ht="16.5" thickBot="1" x14ac:dyDescent="0.3">
      <c r="C31" s="97" t="s">
        <v>24</v>
      </c>
      <c r="D31" s="98"/>
      <c r="E31" s="116">
        <f>IF(ISBLANK(C7),"",200)</f>
        <v>200</v>
      </c>
      <c r="F31" s="117"/>
      <c r="G31" s="89"/>
      <c r="H31" s="90"/>
      <c r="K31" s="2" t="s">
        <v>59</v>
      </c>
      <c r="L31" s="2"/>
      <c r="M31" s="2"/>
      <c r="N31" s="2"/>
    </row>
    <row r="32" spans="3:16" x14ac:dyDescent="0.25">
      <c r="K32" s="2" t="s">
        <v>24</v>
      </c>
      <c r="L32" s="2"/>
      <c r="M32" s="2"/>
      <c r="N32" s="2"/>
    </row>
  </sheetData>
  <sortState ref="A2:A31">
    <sortCondition ref="A1"/>
  </sortState>
  <mergeCells count="40">
    <mergeCell ref="L20:N20"/>
    <mergeCell ref="G27:H27"/>
    <mergeCell ref="G28:H28"/>
    <mergeCell ref="G29:H29"/>
    <mergeCell ref="G30:H30"/>
    <mergeCell ref="G31:H31"/>
    <mergeCell ref="E27:F27"/>
    <mergeCell ref="E28:F28"/>
    <mergeCell ref="E29:F29"/>
    <mergeCell ref="E30:F30"/>
    <mergeCell ref="E31:F31"/>
    <mergeCell ref="E23:F23"/>
    <mergeCell ref="G23:H23"/>
    <mergeCell ref="E24:F24"/>
    <mergeCell ref="E25:F25"/>
    <mergeCell ref="E26:F26"/>
    <mergeCell ref="G26:H26"/>
    <mergeCell ref="G24:H24"/>
    <mergeCell ref="G25:H25"/>
    <mergeCell ref="C28:D28"/>
    <mergeCell ref="C29:D29"/>
    <mergeCell ref="C30:D30"/>
    <mergeCell ref="C31:D31"/>
    <mergeCell ref="C23:D23"/>
    <mergeCell ref="C24:D24"/>
    <mergeCell ref="C25:D25"/>
    <mergeCell ref="C26:D26"/>
    <mergeCell ref="C27:D27"/>
    <mergeCell ref="C21:D21"/>
    <mergeCell ref="C22:D22"/>
    <mergeCell ref="B7:B8"/>
    <mergeCell ref="C7:C8"/>
    <mergeCell ref="G7:G8"/>
    <mergeCell ref="G19:H20"/>
    <mergeCell ref="E19:F20"/>
    <mergeCell ref="E21:F21"/>
    <mergeCell ref="E22:F22"/>
    <mergeCell ref="G21:H21"/>
    <mergeCell ref="G22:H22"/>
    <mergeCell ref="H7:J8"/>
  </mergeCells>
  <dataValidations count="1">
    <dataValidation type="list" allowBlank="1" showInputMessage="1" showErrorMessage="1" sqref="C11">
      <formula1>A2:A2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BD</vt:lpstr>
      <vt:lpstr>Ratio median</vt:lpstr>
      <vt:lpstr>Nouveau</vt:lpstr>
      <vt:lpstr>Consultation</vt:lpstr>
    </vt:vector>
  </TitlesOfParts>
  <Company>WF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 Strambio</dc:creator>
  <cp:lastModifiedBy>Luc Strambio</cp:lastModifiedBy>
  <dcterms:created xsi:type="dcterms:W3CDTF">2013-05-27T07:35:15Z</dcterms:created>
  <dcterms:modified xsi:type="dcterms:W3CDTF">2013-05-30T10:24:02Z</dcterms:modified>
</cp:coreProperties>
</file>