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2" windowHeight="11700"/>
  </bookViews>
  <sheets>
    <sheet name="nov2016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7" i="1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4"/>
  <c r="E12"/>
  <c r="E10"/>
  <c r="E7"/>
  <c r="D51"/>
  <c r="D43" l="1"/>
  <c r="D53"/>
  <c r="G38"/>
  <c r="F38"/>
  <c r="A15"/>
  <c r="D37"/>
  <c r="J37" s="1"/>
  <c r="D36"/>
  <c r="J36" s="1"/>
  <c r="D35"/>
  <c r="J35" s="1"/>
  <c r="D34"/>
  <c r="J34" s="1"/>
  <c r="D33"/>
  <c r="J33" s="1"/>
  <c r="D32"/>
  <c r="J32" s="1"/>
  <c r="D31"/>
  <c r="J31" s="1"/>
  <c r="D30"/>
  <c r="J30" s="1"/>
  <c r="D29"/>
  <c r="J29" s="1"/>
  <c r="D28"/>
  <c r="J28" s="1"/>
  <c r="D27"/>
  <c r="J27" s="1"/>
  <c r="D26"/>
  <c r="J26" s="1"/>
  <c r="D25"/>
  <c r="J25" s="1"/>
  <c r="D24"/>
  <c r="J24" s="1"/>
  <c r="D23"/>
  <c r="J23" s="1"/>
  <c r="D22"/>
  <c r="J22" s="1"/>
  <c r="D21"/>
  <c r="J21" s="1"/>
  <c r="D20"/>
  <c r="J20" s="1"/>
  <c r="D19"/>
  <c r="J19" s="1"/>
  <c r="D18"/>
  <c r="J18" s="1"/>
  <c r="D17"/>
  <c r="J17" s="1"/>
  <c r="D16"/>
  <c r="J16" s="1"/>
  <c r="D15"/>
  <c r="J15" s="1"/>
  <c r="E15" s="1"/>
  <c r="D14"/>
  <c r="J14" s="1"/>
  <c r="D13"/>
  <c r="J13" s="1"/>
  <c r="E13" s="1"/>
  <c r="D12"/>
  <c r="J12" s="1"/>
  <c r="D11"/>
  <c r="J11" s="1"/>
  <c r="E11" s="1"/>
  <c r="D10"/>
  <c r="J10" s="1"/>
  <c r="D9"/>
  <c r="J9" s="1"/>
  <c r="E9" s="1"/>
  <c r="D8"/>
  <c r="J8" s="1"/>
  <c r="E8" s="1"/>
  <c r="D7"/>
  <c r="J7" s="1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4"/>
  <c r="A13"/>
  <c r="A12"/>
  <c r="A11"/>
  <c r="A10"/>
  <c r="A9"/>
  <c r="A8"/>
  <c r="A7"/>
  <c r="B3"/>
  <c r="E38" l="1"/>
  <c r="J53"/>
  <c r="H43"/>
  <c r="D38"/>
  <c r="J52" l="1"/>
  <c r="H44"/>
  <c r="J38"/>
  <c r="D54" l="1"/>
  <c r="D44"/>
  <c r="J54" s="1"/>
  <c r="D47" l="1"/>
</calcChain>
</file>

<file path=xl/sharedStrings.xml><?xml version="1.0" encoding="utf-8"?>
<sst xmlns="http://schemas.openxmlformats.org/spreadsheetml/2006/main" count="39" uniqueCount="38">
  <si>
    <t>Récapitulatif pour bulletin de salaire</t>
  </si>
  <si>
    <t xml:space="preserve">               Moi:</t>
  </si>
  <si>
    <t xml:space="preserve">          Enfants:</t>
  </si>
  <si>
    <t xml:space="preserve">Nom et Prénom </t>
  </si>
  <si>
    <t xml:space="preserve">     Date</t>
  </si>
  <si>
    <t>Indemnité entretient</t>
  </si>
  <si>
    <t>Déjeuner Diner</t>
  </si>
  <si>
    <t>Petit dej Goûté</t>
  </si>
  <si>
    <t>Commentaires</t>
  </si>
  <si>
    <t xml:space="preserve">Heure d'arrivée </t>
  </si>
  <si>
    <t>Heure départ</t>
  </si>
  <si>
    <t>Nombre d'heures</t>
  </si>
  <si>
    <t xml:space="preserve">Conversion Centième </t>
  </si>
  <si>
    <t>Déjeuner ou Diner</t>
  </si>
  <si>
    <t>Petit dej ou Goûter</t>
  </si>
  <si>
    <t>Net de l'heure</t>
  </si>
  <si>
    <t>Totaux</t>
  </si>
  <si>
    <t>Voici les différentes formules pour calculer les frais d'entretients</t>
  </si>
  <si>
    <t>Pour plus de 10H/J aller dans la case indémnité d'entretient corraspondante et inscrivez =M1+(N1*2) cela donnera automatiquement la somme de 3,35 euros</t>
  </si>
  <si>
    <t>Pour 9H/J allez dans la case indémnitée entretient correspondante au jour et inscrivez =M1+N1 cela donnera automatiquement la somme  de 3,00 euros ( déjà arrondis au supperieur)</t>
  </si>
  <si>
    <t xml:space="preserve">Pour 8H/J allez dans la case indémnité entretient corraspondante au jour et inscivez  =M1 cela donnera automatiquement la somme  de 2,65 euros </t>
  </si>
  <si>
    <t xml:space="preserve">Pour chaque heure au dela de 10 changez le chiffre apres N1* par 3 ou 4 etc selon le nompbre d'heure effectuer par jour </t>
  </si>
  <si>
    <t>Bulletin de salaire</t>
  </si>
  <si>
    <t>Mensualisation prévu</t>
  </si>
  <si>
    <t>Heures complémentaires</t>
  </si>
  <si>
    <t>Frais de repas</t>
  </si>
  <si>
    <t>Indémnité d'entretient</t>
  </si>
  <si>
    <t>Total net à payer</t>
  </si>
  <si>
    <t>Déclaration PAJEMPLOIS</t>
  </si>
  <si>
    <t>Période à déclarer:</t>
  </si>
  <si>
    <t>Nombre d'heures normales:</t>
  </si>
  <si>
    <t>Nombre de jours d'activités:</t>
  </si>
  <si>
    <t>Heures suplémentaire</t>
  </si>
  <si>
    <t>Nombre d'heure complémentaire:</t>
  </si>
  <si>
    <t>Nombre d'heure supplémentaire:</t>
  </si>
  <si>
    <t>Total indémnité d'entretient:</t>
  </si>
  <si>
    <t>Salaire hors frais total:</t>
  </si>
  <si>
    <t>Total frais de repas: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</si>
</sst>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[$-40C]mmmm\-yy;@"/>
    <numFmt numFmtId="166" formatCode="[$-F400]h:mm:ss\ AM/PM"/>
    <numFmt numFmtId="167" formatCode="#,##0.00\ &quot;€&quot;"/>
    <numFmt numFmtId="168" formatCode="[h]:mm:ss;@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sz val="14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omic Sans MS"/>
      <family val="4"/>
    </font>
    <font>
      <b/>
      <sz val="10"/>
      <color theme="1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64" fontId="6" fillId="0" borderId="1" xfId="0" applyNumberFormat="1" applyFont="1" applyBorder="1"/>
    <xf numFmtId="166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vertical="center"/>
    </xf>
    <xf numFmtId="2" fontId="0" fillId="0" borderId="1" xfId="0" applyNumberFormat="1" applyBorder="1"/>
    <xf numFmtId="0" fontId="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44" fontId="11" fillId="4" borderId="1" xfId="0" applyNumberFormat="1" applyFont="1" applyFill="1" applyBorder="1" applyAlignment="1">
      <alignment vertical="center"/>
    </xf>
    <xf numFmtId="44" fontId="11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/>
    </xf>
    <xf numFmtId="14" fontId="3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/>
    <xf numFmtId="0" fontId="0" fillId="5" borderId="1" xfId="0" applyFill="1" applyBorder="1"/>
    <xf numFmtId="167" fontId="0" fillId="0" borderId="1" xfId="0" applyNumberFormat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8" fontId="8" fillId="5" borderId="1" xfId="0" applyNumberFormat="1" applyFont="1" applyFill="1" applyBorder="1" applyAlignment="1">
      <alignment horizontal="right" vertical="center"/>
    </xf>
    <xf numFmtId="2" fontId="0" fillId="5" borderId="1" xfId="0" applyNumberFormat="1" applyFill="1" applyBorder="1"/>
    <xf numFmtId="167" fontId="0" fillId="6" borderId="0" xfId="0" applyNumberFormat="1" applyFill="1"/>
    <xf numFmtId="167" fontId="0" fillId="6" borderId="1" xfId="0" applyNumberFormat="1" applyFill="1" applyBorder="1"/>
    <xf numFmtId="0" fontId="0" fillId="7" borderId="1" xfId="0" applyFill="1" applyBorder="1"/>
    <xf numFmtId="44" fontId="11" fillId="0" borderId="1" xfId="0" applyNumberFormat="1" applyFont="1" applyBorder="1" applyAlignment="1">
      <alignment horizontal="left" vertical="center"/>
    </xf>
    <xf numFmtId="44" fontId="11" fillId="0" borderId="1" xfId="0" applyNumberFormat="1" applyFont="1" applyBorder="1" applyAlignment="1">
      <alignment vertical="center"/>
    </xf>
    <xf numFmtId="2" fontId="0" fillId="7" borderId="1" xfId="0" applyNumberFormat="1" applyFill="1" applyBorder="1"/>
    <xf numFmtId="167" fontId="0" fillId="7" borderId="1" xfId="0" applyNumberFormat="1" applyFill="1" applyBorder="1"/>
    <xf numFmtId="2" fontId="0" fillId="7" borderId="1" xfId="0" applyNumberFormat="1" applyFill="1" applyBorder="1" applyAlignment="1">
      <alignment horizontal="right"/>
    </xf>
    <xf numFmtId="166" fontId="0" fillId="0" borderId="1" xfId="0" applyNumberFormat="1" applyBorder="1" applyAlignment="1">
      <alignment horizontal="right"/>
    </xf>
    <xf numFmtId="167" fontId="0" fillId="6" borderId="1" xfId="1" applyNumberFormat="1" applyFont="1" applyFill="1" applyBorder="1" applyAlignment="1">
      <alignment horizontal="right"/>
    </xf>
    <xf numFmtId="165" fontId="7" fillId="7" borderId="1" xfId="0" applyNumberFormat="1" applyFont="1" applyFill="1" applyBorder="1"/>
    <xf numFmtId="9" fontId="2" fillId="0" borderId="1" xfId="2" applyFont="1" applyBorder="1"/>
    <xf numFmtId="0" fontId="3" fillId="2" borderId="0" xfId="0" applyFont="1" applyFill="1" applyAlignment="1">
      <alignment horizontal="center" vertical="center"/>
    </xf>
    <xf numFmtId="165" fontId="9" fillId="0" borderId="4" xfId="0" applyNumberFormat="1" applyFont="1" applyBorder="1" applyAlignment="1">
      <alignment horizontal="center"/>
    </xf>
    <xf numFmtId="165" fontId="9" fillId="0" borderId="5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3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7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14" fontId="7" fillId="9" borderId="6" xfId="0" applyNumberFormat="1" applyFont="1" applyFill="1" applyBorder="1"/>
    <xf numFmtId="4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54"/>
  <sheetViews>
    <sheetView tabSelected="1" topLeftCell="A28" workbookViewId="0">
      <selection activeCell="D44" sqref="D44"/>
    </sheetView>
  </sheetViews>
  <sheetFormatPr baseColWidth="10" defaultRowHeight="14.4"/>
  <cols>
    <col min="1" max="1" width="30" customWidth="1"/>
    <col min="4" max="4" width="12.109375" customWidth="1"/>
    <col min="8" max="8" width="18.88671875" customWidth="1"/>
    <col min="10" max="10" width="12.44140625" customWidth="1"/>
    <col min="11" max="11" width="11.44140625" customWidth="1"/>
    <col min="12" max="12" width="21.44140625" customWidth="1"/>
    <col min="13" max="13" width="14.44140625" customWidth="1"/>
    <col min="14" max="14" width="18.6640625" customWidth="1"/>
    <col min="16" max="17" width="14.5546875" customWidth="1"/>
  </cols>
  <sheetData>
    <row r="1" spans="1:16" ht="30.75" customHeight="1">
      <c r="A1" s="37" t="s">
        <v>0</v>
      </c>
      <c r="B1" s="37"/>
      <c r="C1" s="37"/>
      <c r="D1" s="37"/>
      <c r="E1" s="37"/>
      <c r="F1" s="37"/>
      <c r="G1" s="37"/>
      <c r="H1" s="37"/>
      <c r="L1" s="12" t="s">
        <v>5</v>
      </c>
      <c r="M1" s="14">
        <v>2.65</v>
      </c>
      <c r="N1" s="15">
        <v>0.35</v>
      </c>
    </row>
    <row r="2" spans="1:16" ht="24" customHeight="1">
      <c r="L2" s="13" t="s">
        <v>13</v>
      </c>
      <c r="M2" s="28"/>
    </row>
    <row r="3" spans="1:16" ht="22.5" customHeight="1">
      <c r="A3" s="1" t="s">
        <v>1</v>
      </c>
      <c r="B3" s="38">
        <f>D3</f>
        <v>42675</v>
      </c>
      <c r="C3" s="39"/>
      <c r="D3" s="57">
        <v>42675</v>
      </c>
      <c r="L3" s="13" t="s">
        <v>14</v>
      </c>
      <c r="M3" s="15"/>
    </row>
    <row r="4" spans="1:16" ht="29.25" customHeight="1">
      <c r="A4" s="1" t="s">
        <v>2</v>
      </c>
      <c r="B4" s="40" t="s">
        <v>3</v>
      </c>
      <c r="C4" s="41"/>
      <c r="D4" s="41"/>
      <c r="E4" s="41"/>
      <c r="F4" s="41"/>
      <c r="G4" s="41"/>
      <c r="H4" s="42"/>
      <c r="L4" s="11" t="s">
        <v>15</v>
      </c>
      <c r="M4" s="29">
        <v>10</v>
      </c>
      <c r="N4" s="36">
        <v>0.25</v>
      </c>
    </row>
    <row r="6" spans="1:16" ht="36.75" customHeight="1">
      <c r="A6" s="2" t="s">
        <v>4</v>
      </c>
      <c r="B6" s="4" t="s">
        <v>9</v>
      </c>
      <c r="C6" s="4" t="s">
        <v>10</v>
      </c>
      <c r="D6" s="3" t="s">
        <v>11</v>
      </c>
      <c r="E6" s="3" t="s">
        <v>5</v>
      </c>
      <c r="F6" s="3" t="s">
        <v>6</v>
      </c>
      <c r="G6" s="3" t="s">
        <v>7</v>
      </c>
      <c r="H6" s="5" t="s">
        <v>8</v>
      </c>
      <c r="J6" s="4" t="s">
        <v>12</v>
      </c>
      <c r="L6" s="43" t="s">
        <v>17</v>
      </c>
      <c r="M6" s="44"/>
      <c r="N6" s="44"/>
      <c r="O6" s="44"/>
      <c r="P6" s="45"/>
    </row>
    <row r="7" spans="1:16">
      <c r="A7" s="6">
        <f>D3</f>
        <v>42675</v>
      </c>
      <c r="B7" s="7">
        <v>0.33333333333333331</v>
      </c>
      <c r="C7" s="7">
        <v>0.75</v>
      </c>
      <c r="D7" s="7">
        <f t="shared" ref="D7:D37" si="0">C7-B7</f>
        <v>0.41666666666666669</v>
      </c>
      <c r="E7" s="20">
        <f>IF(J7=8,$M$1,IF(J7&gt;8,((J7-8)*$N$1)+$M$1,""))</f>
        <v>3.3499999999999996</v>
      </c>
      <c r="F7" s="22"/>
      <c r="G7" s="22"/>
      <c r="H7" s="9"/>
      <c r="J7" s="10">
        <f t="shared" ref="J7:J38" si="1">D7*24</f>
        <v>10</v>
      </c>
    </row>
    <row r="8" spans="1:16">
      <c r="A8" s="6">
        <f>IF($D$3="","",$D$3+1)</f>
        <v>42676</v>
      </c>
      <c r="B8" s="7">
        <v>0.33333333333333331</v>
      </c>
      <c r="C8" s="7">
        <v>0.66666666666666663</v>
      </c>
      <c r="D8" s="7">
        <f t="shared" si="0"/>
        <v>0.33333333333333331</v>
      </c>
      <c r="E8" s="20">
        <f t="shared" ref="E8:E37" si="2">IF(J8=8,$M$1,IF(J8&gt;8,((J8-8)*$N$1)+$M$1,""))</f>
        <v>2.65</v>
      </c>
      <c r="F8" s="22"/>
      <c r="G8" s="22"/>
      <c r="H8" s="8"/>
      <c r="J8" s="10">
        <f t="shared" si="1"/>
        <v>8</v>
      </c>
      <c r="L8" s="46" t="s">
        <v>20</v>
      </c>
      <c r="M8" s="47"/>
      <c r="N8" s="47"/>
      <c r="O8" s="47"/>
      <c r="P8" s="47"/>
    </row>
    <row r="9" spans="1:16">
      <c r="A9" s="6">
        <f>IF($D$3="","",$D$3+2)</f>
        <v>42677</v>
      </c>
      <c r="B9" s="7">
        <v>0.33333333333333331</v>
      </c>
      <c r="C9" s="7">
        <v>0.71875</v>
      </c>
      <c r="D9" s="7">
        <f t="shared" si="0"/>
        <v>0.38541666666666669</v>
      </c>
      <c r="E9" s="20">
        <f t="shared" si="2"/>
        <v>3.0874999999999999</v>
      </c>
      <c r="F9" s="22"/>
      <c r="G9" s="22"/>
      <c r="H9" s="8"/>
      <c r="J9" s="10">
        <f t="shared" si="1"/>
        <v>9.25</v>
      </c>
      <c r="L9" s="47"/>
      <c r="M9" s="47"/>
      <c r="N9" s="47"/>
      <c r="O9" s="47"/>
      <c r="P9" s="47"/>
    </row>
    <row r="10" spans="1:16">
      <c r="A10" s="6">
        <f>IF($D$3="","",$D$3+3)</f>
        <v>42678</v>
      </c>
      <c r="B10" s="7"/>
      <c r="C10" s="7"/>
      <c r="D10" s="7">
        <f t="shared" si="0"/>
        <v>0</v>
      </c>
      <c r="E10" s="20" t="str">
        <f t="shared" si="2"/>
        <v/>
      </c>
      <c r="F10" s="22"/>
      <c r="G10" s="22"/>
      <c r="H10" s="8"/>
      <c r="J10" s="10">
        <f t="shared" si="1"/>
        <v>0</v>
      </c>
    </row>
    <row r="11" spans="1:16">
      <c r="A11" s="6">
        <f>IF($D$3="","",$D$3+4)</f>
        <v>42679</v>
      </c>
      <c r="B11" s="7"/>
      <c r="C11" s="7"/>
      <c r="D11" s="7">
        <f t="shared" si="0"/>
        <v>0</v>
      </c>
      <c r="E11" s="20" t="str">
        <f t="shared" si="2"/>
        <v/>
      </c>
      <c r="F11" s="22"/>
      <c r="G11" s="22"/>
      <c r="H11" s="8"/>
      <c r="J11" s="10">
        <f t="shared" si="1"/>
        <v>0</v>
      </c>
      <c r="L11" s="46" t="s">
        <v>19</v>
      </c>
      <c r="M11" s="46"/>
      <c r="N11" s="46"/>
      <c r="O11" s="46"/>
      <c r="P11" s="46"/>
    </row>
    <row r="12" spans="1:16">
      <c r="A12" s="6">
        <f>IF($D$3="","",$D$3+5)</f>
        <v>42680</v>
      </c>
      <c r="B12" s="7"/>
      <c r="C12" s="7"/>
      <c r="D12" s="7">
        <f t="shared" si="0"/>
        <v>0</v>
      </c>
      <c r="E12" s="20" t="str">
        <f t="shared" si="2"/>
        <v/>
      </c>
      <c r="F12" s="22"/>
      <c r="G12" s="22"/>
      <c r="H12" s="8"/>
      <c r="J12" s="10">
        <f t="shared" si="1"/>
        <v>0</v>
      </c>
      <c r="L12" s="46"/>
      <c r="M12" s="46"/>
      <c r="N12" s="46"/>
      <c r="O12" s="46"/>
      <c r="P12" s="46"/>
    </row>
    <row r="13" spans="1:16">
      <c r="A13" s="6">
        <f>IF($D$3="","",$D$3+6)</f>
        <v>42681</v>
      </c>
      <c r="B13" s="7">
        <v>0.30208333333333331</v>
      </c>
      <c r="C13" s="7">
        <v>0.69097222222222221</v>
      </c>
      <c r="D13" s="7">
        <f t="shared" si="0"/>
        <v>0.3888888888888889</v>
      </c>
      <c r="E13" s="20">
        <f t="shared" si="2"/>
        <v>3.1166666666666667</v>
      </c>
      <c r="F13" s="22"/>
      <c r="G13" s="22"/>
      <c r="H13" s="8"/>
      <c r="J13" s="10">
        <f t="shared" si="1"/>
        <v>9.3333333333333339</v>
      </c>
    </row>
    <row r="14" spans="1:16">
      <c r="A14" s="6">
        <f>IF($D$3="","",$D$3+7)</f>
        <v>42682</v>
      </c>
      <c r="B14" s="7"/>
      <c r="C14" s="7"/>
      <c r="D14" s="7">
        <f t="shared" si="0"/>
        <v>0</v>
      </c>
      <c r="E14" s="20" t="str">
        <f t="shared" si="2"/>
        <v/>
      </c>
      <c r="F14" s="22"/>
      <c r="G14" s="22"/>
      <c r="H14" s="8"/>
      <c r="J14" s="10">
        <f t="shared" si="1"/>
        <v>0</v>
      </c>
      <c r="L14" s="46" t="s">
        <v>18</v>
      </c>
      <c r="M14" s="46"/>
      <c r="N14" s="46"/>
      <c r="O14" s="46"/>
      <c r="P14" s="46"/>
    </row>
    <row r="15" spans="1:16">
      <c r="A15" s="16">
        <f>IF($D$3="","",$D$3+8)</f>
        <v>42683</v>
      </c>
      <c r="B15" s="33">
        <v>0.35347222222222219</v>
      </c>
      <c r="C15" s="7">
        <v>0.77569444444444446</v>
      </c>
      <c r="D15" s="7">
        <f t="shared" si="0"/>
        <v>0.42222222222222228</v>
      </c>
      <c r="E15" s="20">
        <f t="shared" si="2"/>
        <v>3.3966666666666669</v>
      </c>
      <c r="F15" s="22"/>
      <c r="G15" s="22"/>
      <c r="H15" s="8"/>
      <c r="J15" s="10">
        <f t="shared" si="1"/>
        <v>10.133333333333335</v>
      </c>
      <c r="L15" s="46"/>
      <c r="M15" s="46"/>
      <c r="N15" s="46"/>
      <c r="O15" s="46"/>
      <c r="P15" s="46"/>
    </row>
    <row r="16" spans="1:16">
      <c r="A16" s="6">
        <f>IF($D$3="","",$D$3+9)</f>
        <v>42684</v>
      </c>
      <c r="B16" s="7"/>
      <c r="C16" s="7"/>
      <c r="D16" s="7">
        <f t="shared" si="0"/>
        <v>0</v>
      </c>
      <c r="E16" s="20" t="str">
        <f t="shared" si="2"/>
        <v/>
      </c>
      <c r="F16" s="22"/>
      <c r="G16" s="22"/>
      <c r="H16" s="8"/>
      <c r="J16" s="10">
        <f t="shared" si="1"/>
        <v>0</v>
      </c>
    </row>
    <row r="17" spans="1:16">
      <c r="A17" s="6">
        <f>IF($D$3="","",$D$3+10)</f>
        <v>42685</v>
      </c>
      <c r="B17" s="7"/>
      <c r="C17" s="7"/>
      <c r="D17" s="7">
        <f t="shared" si="0"/>
        <v>0</v>
      </c>
      <c r="E17" s="20" t="str">
        <f t="shared" si="2"/>
        <v/>
      </c>
      <c r="F17" s="22"/>
      <c r="G17" s="22"/>
      <c r="H17" s="8"/>
      <c r="J17" s="10">
        <f t="shared" si="1"/>
        <v>0</v>
      </c>
      <c r="L17" s="48" t="s">
        <v>21</v>
      </c>
      <c r="M17" s="48"/>
      <c r="N17" s="48"/>
      <c r="O17" s="48"/>
      <c r="P17" s="48"/>
    </row>
    <row r="18" spans="1:16">
      <c r="A18" s="6">
        <f>IF($D$3="","",$D$3+11)</f>
        <v>42686</v>
      </c>
      <c r="B18" s="7"/>
      <c r="C18" s="7"/>
      <c r="D18" s="7">
        <f t="shared" si="0"/>
        <v>0</v>
      </c>
      <c r="E18" s="20" t="str">
        <f t="shared" si="2"/>
        <v/>
      </c>
      <c r="F18" s="22"/>
      <c r="G18" s="22"/>
      <c r="H18" s="8"/>
      <c r="J18" s="10">
        <f t="shared" si="1"/>
        <v>0</v>
      </c>
      <c r="L18" s="48"/>
      <c r="M18" s="48"/>
      <c r="N18" s="48"/>
      <c r="O18" s="48"/>
      <c r="P18" s="48"/>
    </row>
    <row r="19" spans="1:16">
      <c r="A19" s="6">
        <f>IF($D$3="","",$D$3+12)</f>
        <v>42687</v>
      </c>
      <c r="B19" s="7"/>
      <c r="C19" s="7"/>
      <c r="D19" s="7">
        <f t="shared" si="0"/>
        <v>0</v>
      </c>
      <c r="E19" s="20" t="str">
        <f t="shared" si="2"/>
        <v/>
      </c>
      <c r="F19" s="22"/>
      <c r="G19" s="22"/>
      <c r="H19" s="8"/>
      <c r="J19" s="10">
        <f t="shared" si="1"/>
        <v>0</v>
      </c>
    </row>
    <row r="20" spans="1:16">
      <c r="A20" s="6">
        <f>IF($D$3="","",$D$3+13)</f>
        <v>42688</v>
      </c>
      <c r="B20" s="7"/>
      <c r="C20" s="7"/>
      <c r="D20" s="7">
        <f t="shared" si="0"/>
        <v>0</v>
      </c>
      <c r="E20" s="20" t="str">
        <f t="shared" si="2"/>
        <v/>
      </c>
      <c r="F20" s="22"/>
      <c r="G20" s="22"/>
      <c r="H20" s="8"/>
      <c r="J20" s="10">
        <f t="shared" si="1"/>
        <v>0</v>
      </c>
    </row>
    <row r="21" spans="1:16">
      <c r="A21" s="6">
        <f>IF($D$3="","",$D$3+14)</f>
        <v>42689</v>
      </c>
      <c r="B21" s="7"/>
      <c r="C21" s="7"/>
      <c r="D21" s="7">
        <f t="shared" si="0"/>
        <v>0</v>
      </c>
      <c r="E21" s="20" t="str">
        <f t="shared" si="2"/>
        <v/>
      </c>
      <c r="F21" s="22"/>
      <c r="G21" s="22"/>
      <c r="H21" s="8"/>
      <c r="J21" s="10">
        <f t="shared" si="1"/>
        <v>0</v>
      </c>
    </row>
    <row r="22" spans="1:16">
      <c r="A22" s="6">
        <f>IF($D$3="","",$D$3+15)</f>
        <v>42690</v>
      </c>
      <c r="B22" s="7"/>
      <c r="C22" s="7"/>
      <c r="D22" s="7">
        <f t="shared" si="0"/>
        <v>0</v>
      </c>
      <c r="E22" s="20" t="str">
        <f t="shared" si="2"/>
        <v/>
      </c>
      <c r="F22" s="22"/>
      <c r="G22" s="22"/>
      <c r="H22" s="8"/>
      <c r="J22" s="10">
        <f t="shared" si="1"/>
        <v>0</v>
      </c>
    </row>
    <row r="23" spans="1:16">
      <c r="A23" s="6">
        <f>IF($D$3="","",$D$3+16)</f>
        <v>42691</v>
      </c>
      <c r="B23" s="7"/>
      <c r="C23" s="7"/>
      <c r="D23" s="7">
        <f t="shared" si="0"/>
        <v>0</v>
      </c>
      <c r="E23" s="20" t="str">
        <f t="shared" si="2"/>
        <v/>
      </c>
      <c r="F23" s="22"/>
      <c r="G23" s="22"/>
      <c r="H23" s="8"/>
      <c r="J23" s="10">
        <f t="shared" si="1"/>
        <v>0</v>
      </c>
      <c r="L23" s="58"/>
    </row>
    <row r="24" spans="1:16">
      <c r="A24" s="6">
        <f>IF($D$3="","",$D$3+17)</f>
        <v>42692</v>
      </c>
      <c r="B24" s="7"/>
      <c r="C24" s="7"/>
      <c r="D24" s="7">
        <f t="shared" si="0"/>
        <v>0</v>
      </c>
      <c r="E24" s="20" t="str">
        <f t="shared" si="2"/>
        <v/>
      </c>
      <c r="F24" s="22"/>
      <c r="G24" s="22"/>
      <c r="H24" s="8"/>
      <c r="J24" s="10">
        <f t="shared" si="1"/>
        <v>0</v>
      </c>
    </row>
    <row r="25" spans="1:16">
      <c r="A25" s="6">
        <f>IF($D$3="","",$D$3+18)</f>
        <v>42693</v>
      </c>
      <c r="B25" s="7"/>
      <c r="C25" s="7"/>
      <c r="D25" s="7">
        <f t="shared" si="0"/>
        <v>0</v>
      </c>
      <c r="E25" s="20" t="str">
        <f t="shared" si="2"/>
        <v/>
      </c>
      <c r="F25" s="22"/>
      <c r="G25" s="22"/>
      <c r="H25" s="8"/>
      <c r="J25" s="10">
        <f t="shared" si="1"/>
        <v>0</v>
      </c>
    </row>
    <row r="26" spans="1:16">
      <c r="A26" s="6">
        <f>IF($D$3="","",$D$3+19)</f>
        <v>42694</v>
      </c>
      <c r="B26" s="7"/>
      <c r="C26" s="7"/>
      <c r="D26" s="7">
        <f t="shared" si="0"/>
        <v>0</v>
      </c>
      <c r="E26" s="20" t="str">
        <f t="shared" si="2"/>
        <v/>
      </c>
      <c r="F26" s="22"/>
      <c r="G26" s="22"/>
      <c r="H26" s="8"/>
      <c r="J26" s="10">
        <f t="shared" si="1"/>
        <v>0</v>
      </c>
    </row>
    <row r="27" spans="1:16">
      <c r="A27" s="6">
        <f>IF($D$3="","",$D$3+20)</f>
        <v>42695</v>
      </c>
      <c r="B27" s="7"/>
      <c r="C27" s="7"/>
      <c r="D27" s="7">
        <f t="shared" si="0"/>
        <v>0</v>
      </c>
      <c r="E27" s="20" t="str">
        <f t="shared" si="2"/>
        <v/>
      </c>
      <c r="F27" s="22"/>
      <c r="G27" s="22"/>
      <c r="H27" s="8"/>
      <c r="J27" s="10">
        <f t="shared" si="1"/>
        <v>0</v>
      </c>
    </row>
    <row r="28" spans="1:16">
      <c r="A28" s="6">
        <f>IF($D$3="","",$D$3+21)</f>
        <v>42696</v>
      </c>
      <c r="B28" s="7"/>
      <c r="C28" s="7"/>
      <c r="D28" s="7">
        <f t="shared" si="0"/>
        <v>0</v>
      </c>
      <c r="E28" s="20" t="str">
        <f t="shared" si="2"/>
        <v/>
      </c>
      <c r="F28" s="22"/>
      <c r="G28" s="22"/>
      <c r="H28" s="8"/>
      <c r="J28" s="10">
        <f t="shared" si="1"/>
        <v>0</v>
      </c>
    </row>
    <row r="29" spans="1:16">
      <c r="A29" s="6">
        <f>IF($D$3="","",$D$3+22)</f>
        <v>42697</v>
      </c>
      <c r="B29" s="7"/>
      <c r="C29" s="7"/>
      <c r="D29" s="7">
        <f t="shared" si="0"/>
        <v>0</v>
      </c>
      <c r="E29" s="20" t="str">
        <f t="shared" si="2"/>
        <v/>
      </c>
      <c r="F29" s="22"/>
      <c r="G29" s="22"/>
      <c r="H29" s="8"/>
      <c r="J29" s="10">
        <f t="shared" si="1"/>
        <v>0</v>
      </c>
    </row>
    <row r="30" spans="1:16">
      <c r="A30" s="6">
        <f>IF($D$3="","",$D$3+23)</f>
        <v>42698</v>
      </c>
      <c r="B30" s="7"/>
      <c r="C30" s="7"/>
      <c r="D30" s="7">
        <f t="shared" si="0"/>
        <v>0</v>
      </c>
      <c r="E30" s="20" t="str">
        <f t="shared" si="2"/>
        <v/>
      </c>
      <c r="F30" s="22"/>
      <c r="G30" s="22"/>
      <c r="H30" s="8"/>
      <c r="J30" s="10">
        <f t="shared" si="1"/>
        <v>0</v>
      </c>
    </row>
    <row r="31" spans="1:16">
      <c r="A31" s="6">
        <f>IF($D$3="","",$D$3+24)</f>
        <v>42699</v>
      </c>
      <c r="B31" s="7"/>
      <c r="C31" s="7"/>
      <c r="D31" s="7">
        <f t="shared" si="0"/>
        <v>0</v>
      </c>
      <c r="E31" s="20" t="str">
        <f t="shared" si="2"/>
        <v/>
      </c>
      <c r="F31" s="22"/>
      <c r="G31" s="22"/>
      <c r="H31" s="8"/>
      <c r="J31" s="10">
        <f t="shared" si="1"/>
        <v>0</v>
      </c>
    </row>
    <row r="32" spans="1:16">
      <c r="A32" s="6">
        <f>IF($D$3="","",$D$3+25)</f>
        <v>42700</v>
      </c>
      <c r="B32" s="7"/>
      <c r="C32" s="7"/>
      <c r="D32" s="7">
        <f t="shared" si="0"/>
        <v>0</v>
      </c>
      <c r="E32" s="20" t="str">
        <f t="shared" si="2"/>
        <v/>
      </c>
      <c r="F32" s="22"/>
      <c r="G32" s="22"/>
      <c r="H32" s="8"/>
      <c r="J32" s="10">
        <f t="shared" si="1"/>
        <v>0</v>
      </c>
    </row>
    <row r="33" spans="1:10">
      <c r="A33" s="6">
        <f>IF($D$3="","",$D$3+26)</f>
        <v>42701</v>
      </c>
      <c r="B33" s="7"/>
      <c r="C33" s="7"/>
      <c r="D33" s="7">
        <f t="shared" si="0"/>
        <v>0</v>
      </c>
      <c r="E33" s="20" t="str">
        <f t="shared" si="2"/>
        <v/>
      </c>
      <c r="F33" s="22"/>
      <c r="G33" s="22"/>
      <c r="H33" s="8"/>
      <c r="J33" s="10">
        <f t="shared" si="1"/>
        <v>0</v>
      </c>
    </row>
    <row r="34" spans="1:10">
      <c r="A34" s="6">
        <f>IF($D$3="","",$D$3+27)</f>
        <v>42702</v>
      </c>
      <c r="B34" s="7"/>
      <c r="C34" s="7"/>
      <c r="D34" s="7">
        <f t="shared" si="0"/>
        <v>0</v>
      </c>
      <c r="E34" s="20" t="str">
        <f t="shared" si="2"/>
        <v/>
      </c>
      <c r="F34" s="22"/>
      <c r="G34" s="22"/>
      <c r="H34" s="8"/>
      <c r="J34" s="10">
        <f t="shared" si="1"/>
        <v>0</v>
      </c>
    </row>
    <row r="35" spans="1:10">
      <c r="A35" s="6">
        <f>IF($D$3="","",$D$3+28)</f>
        <v>42703</v>
      </c>
      <c r="B35" s="7"/>
      <c r="C35" s="7"/>
      <c r="D35" s="7">
        <f t="shared" si="0"/>
        <v>0</v>
      </c>
      <c r="E35" s="20" t="str">
        <f t="shared" si="2"/>
        <v/>
      </c>
      <c r="F35" s="22"/>
      <c r="G35" s="22"/>
      <c r="H35" s="8"/>
      <c r="J35" s="10">
        <f t="shared" si="1"/>
        <v>0</v>
      </c>
    </row>
    <row r="36" spans="1:10">
      <c r="A36" s="6">
        <f>IF($D$3="","",$D$3+29)</f>
        <v>42704</v>
      </c>
      <c r="B36" s="7"/>
      <c r="C36" s="7"/>
      <c r="D36" s="7">
        <f t="shared" si="0"/>
        <v>0</v>
      </c>
      <c r="E36" s="20" t="str">
        <f t="shared" si="2"/>
        <v/>
      </c>
      <c r="F36" s="22"/>
      <c r="G36" s="22"/>
      <c r="H36" s="8"/>
      <c r="J36" s="10">
        <f t="shared" si="1"/>
        <v>0</v>
      </c>
    </row>
    <row r="37" spans="1:10">
      <c r="A37" s="6">
        <f>IF($D$3="","",$D$3+30)</f>
        <v>42705</v>
      </c>
      <c r="B37" s="7"/>
      <c r="C37" s="7"/>
      <c r="D37" s="7">
        <f t="shared" si="0"/>
        <v>0</v>
      </c>
      <c r="E37" s="20" t="str">
        <f t="shared" si="2"/>
        <v/>
      </c>
      <c r="F37" s="22"/>
      <c r="G37" s="22"/>
      <c r="H37" s="8"/>
      <c r="J37" s="10">
        <f t="shared" si="1"/>
        <v>0</v>
      </c>
    </row>
    <row r="38" spans="1:10" ht="21">
      <c r="A38" s="17" t="s">
        <v>16</v>
      </c>
      <c r="B38" s="18"/>
      <c r="C38" s="18"/>
      <c r="D38" s="23">
        <f>D7+D8+D9+D10+D11+D12+D13+D14+D15+D16+D17+D18+D19+D20+D21+D22+D23+D24+D25+D26+D27+D28+D29+D30+D31+D32+D33+D34+D35+D36+D37</f>
        <v>1.9465277777777779</v>
      </c>
      <c r="E38" s="21">
        <f>SUM(E7:E37)</f>
        <v>15.600833333333334</v>
      </c>
      <c r="F38" s="21">
        <f>SUM(F7:F37)*$M$2</f>
        <v>0</v>
      </c>
      <c r="G38" s="21">
        <f>SUM(G7:G37)*$M$3</f>
        <v>0</v>
      </c>
      <c r="H38" s="19"/>
      <c r="J38" s="24">
        <f t="shared" si="1"/>
        <v>46.716666666666669</v>
      </c>
    </row>
    <row r="41" spans="1:10" ht="21">
      <c r="A41" s="49" t="s">
        <v>22</v>
      </c>
      <c r="B41" s="50"/>
      <c r="C41" s="50"/>
      <c r="D41" s="50"/>
      <c r="E41" s="50"/>
      <c r="F41" s="50"/>
      <c r="G41" s="50"/>
      <c r="H41" s="50"/>
      <c r="I41" s="50"/>
      <c r="J41" s="50"/>
    </row>
    <row r="43" spans="1:10">
      <c r="A43" s="51" t="s">
        <v>23</v>
      </c>
      <c r="B43" s="52"/>
      <c r="D43" s="26">
        <f>D52*M4</f>
        <v>350</v>
      </c>
      <c r="F43" s="53" t="s">
        <v>25</v>
      </c>
      <c r="G43" s="54"/>
      <c r="H43" s="26">
        <f>F38+G38</f>
        <v>0</v>
      </c>
    </row>
    <row r="44" spans="1:10">
      <c r="A44" s="51" t="s">
        <v>24</v>
      </c>
      <c r="B44" s="52"/>
      <c r="D44" s="34">
        <f>IF(J38&gt;D52,(J38-D52)*($M$4*$N$4+$M$4),0)</f>
        <v>146.45833333333337</v>
      </c>
      <c r="F44" s="53" t="s">
        <v>26</v>
      </c>
      <c r="G44" s="53"/>
      <c r="H44" s="26">
        <f>E38</f>
        <v>15.600833333333334</v>
      </c>
    </row>
    <row r="45" spans="1:10">
      <c r="A45" s="51" t="s">
        <v>32</v>
      </c>
      <c r="B45" s="52"/>
      <c r="D45" s="25"/>
    </row>
    <row r="47" spans="1:10">
      <c r="A47" s="53" t="s">
        <v>27</v>
      </c>
      <c r="B47" s="53"/>
      <c r="C47" s="53"/>
      <c r="D47" s="25">
        <f>D43+H43+D44+H44+D45</f>
        <v>512.05916666666667</v>
      </c>
    </row>
    <row r="49" spans="1:10" ht="17.399999999999999">
      <c r="A49" s="55" t="s">
        <v>28</v>
      </c>
      <c r="B49" s="55"/>
      <c r="C49" s="55"/>
      <c r="D49" s="55"/>
      <c r="E49" s="55"/>
      <c r="F49" s="55"/>
      <c r="G49" s="55"/>
      <c r="H49" s="55"/>
      <c r="I49" s="55"/>
      <c r="J49" s="55"/>
    </row>
    <row r="51" spans="1:10">
      <c r="A51" s="53" t="s">
        <v>29</v>
      </c>
      <c r="B51" s="53"/>
      <c r="D51" s="35">
        <f>B3</f>
        <v>42675</v>
      </c>
      <c r="F51" s="53" t="s">
        <v>34</v>
      </c>
      <c r="G51" s="53"/>
      <c r="H51" s="53"/>
      <c r="J51" s="30"/>
    </row>
    <row r="52" spans="1:10">
      <c r="A52" s="53" t="s">
        <v>30</v>
      </c>
      <c r="B52" s="56"/>
      <c r="D52" s="30">
        <v>35</v>
      </c>
      <c r="F52" s="53" t="s">
        <v>35</v>
      </c>
      <c r="G52" s="53"/>
      <c r="H52" s="53"/>
      <c r="J52" s="31">
        <f>E38</f>
        <v>15.600833333333334</v>
      </c>
    </row>
    <row r="53" spans="1:10">
      <c r="A53" s="53" t="s">
        <v>31</v>
      </c>
      <c r="B53" s="53"/>
      <c r="D53" s="27">
        <f>COUNTA(B7:B37)</f>
        <v>5</v>
      </c>
      <c r="F53" s="53" t="s">
        <v>37</v>
      </c>
      <c r="G53" s="53"/>
      <c r="H53" s="53"/>
      <c r="J53" s="31">
        <f>F38+G38</f>
        <v>0</v>
      </c>
    </row>
    <row r="54" spans="1:10">
      <c r="A54" s="53" t="s">
        <v>33</v>
      </c>
      <c r="B54" s="53"/>
      <c r="D54" s="32">
        <f>IF(J38&gt;D52,J38-D52,"0")</f>
        <v>11.716666666666669</v>
      </c>
      <c r="F54" s="53" t="s">
        <v>36</v>
      </c>
      <c r="G54" s="53"/>
      <c r="H54" s="53"/>
      <c r="J54" s="31">
        <f>D43+D44+D45</f>
        <v>496.45833333333337</v>
      </c>
    </row>
  </sheetData>
  <mergeCells count="24">
    <mergeCell ref="A54:B54"/>
    <mergeCell ref="F51:H51"/>
    <mergeCell ref="F52:H52"/>
    <mergeCell ref="F54:H54"/>
    <mergeCell ref="F53:H53"/>
    <mergeCell ref="A51:B51"/>
    <mergeCell ref="A52:B52"/>
    <mergeCell ref="A44:B44"/>
    <mergeCell ref="F43:G43"/>
    <mergeCell ref="F44:G44"/>
    <mergeCell ref="A53:B53"/>
    <mergeCell ref="A45:B45"/>
    <mergeCell ref="A49:J49"/>
    <mergeCell ref="A47:C47"/>
    <mergeCell ref="L11:P12"/>
    <mergeCell ref="L14:P15"/>
    <mergeCell ref="L17:P18"/>
    <mergeCell ref="A41:J41"/>
    <mergeCell ref="A43:B43"/>
    <mergeCell ref="A1:H1"/>
    <mergeCell ref="B3:C3"/>
    <mergeCell ref="B4:H4"/>
    <mergeCell ref="L6:P6"/>
    <mergeCell ref="L8:P9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nov2016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2016-11-06T05:24:17Z</dcterms:modified>
</cp:coreProperties>
</file>