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95" yWindow="1620" windowWidth="28635" windowHeight="10905" tabRatio="229" firstSheet="1" activeTab="1"/>
  </bookViews>
  <sheets>
    <sheet name="Dashboard" sheetId="5" r:id="rId1"/>
    <sheet name="Sheet1" sheetId="8" r:id="rId2"/>
  </sheets>
  <definedNames>
    <definedName name="_xlnm.Print_Area" localSheetId="0">Dashboard!$B$1:$AB$45</definedName>
  </definedNames>
  <calcPr calcId="145621" calcMode="manual" calcCompleted="0"/>
</workbook>
</file>

<file path=xl/calcChain.xml><?xml version="1.0" encoding="utf-8"?>
<calcChain xmlns="http://schemas.openxmlformats.org/spreadsheetml/2006/main">
  <c r="C11" i="8" l="1" a="1"/>
  <c r="C11" i="8" s="1"/>
  <c r="E9" i="8" l="1"/>
  <c r="D9" i="8"/>
  <c r="E8" i="8"/>
  <c r="D8" i="8"/>
  <c r="R5" i="5" l="1"/>
  <c r="J5" i="5" l="1"/>
  <c r="J6" i="5" s="1"/>
  <c r="R44" i="5" l="1"/>
  <c r="R43" i="5"/>
  <c r="F43" i="5"/>
  <c r="R42" i="5"/>
  <c r="E42" i="5"/>
  <c r="R41" i="5"/>
  <c r="E41" i="5"/>
  <c r="R40" i="5"/>
  <c r="R45" i="5" s="1"/>
  <c r="E40" i="5"/>
  <c r="F40" i="5" s="1"/>
  <c r="F44" i="5" s="1"/>
  <c r="AB5" i="5"/>
  <c r="AB6" i="5" s="1"/>
  <c r="AA5" i="5"/>
  <c r="AA6" i="5" s="1"/>
  <c r="Z5" i="5"/>
  <c r="Z6" i="5" s="1"/>
  <c r="Y5" i="5"/>
  <c r="Y6" i="5" s="1"/>
  <c r="X5" i="5"/>
  <c r="X6" i="5" s="1"/>
  <c r="W5" i="5"/>
  <c r="W6" i="5" s="1"/>
  <c r="V5" i="5"/>
  <c r="V6" i="5" s="1"/>
  <c r="U5" i="5"/>
  <c r="U6" i="5" s="1"/>
  <c r="T5" i="5"/>
  <c r="T6" i="5" s="1"/>
  <c r="S5" i="5"/>
  <c r="S6" i="5" s="1"/>
  <c r="Q5" i="5"/>
  <c r="Q6" i="5" s="1"/>
  <c r="P5" i="5"/>
  <c r="P6" i="5" s="1"/>
  <c r="O5" i="5"/>
  <c r="O6" i="5" s="1"/>
  <c r="N5" i="5"/>
  <c r="N6" i="5" s="1"/>
  <c r="M5" i="5"/>
  <c r="M6" i="5" s="1"/>
  <c r="L5" i="5"/>
  <c r="L6" i="5" s="1"/>
  <c r="K5" i="5"/>
  <c r="K6" i="5" s="1"/>
  <c r="S43" i="5" l="1"/>
  <c r="S41" i="5"/>
  <c r="S42" i="5"/>
  <c r="S44" i="5"/>
  <c r="S40" i="5"/>
  <c r="J45" i="5" l="1"/>
  <c r="K45" i="5" s="1"/>
  <c r="J44" i="5"/>
  <c r="K44" i="5" s="1"/>
  <c r="J42" i="5"/>
  <c r="K42" i="5" s="1"/>
  <c r="J40" i="5"/>
  <c r="K40" i="5" s="1"/>
  <c r="J43" i="5"/>
  <c r="K43" i="5" s="1"/>
  <c r="J41" i="5"/>
  <c r="K41" i="5" s="1"/>
  <c r="V40" i="5" l="1"/>
  <c r="T40" i="5"/>
  <c r="N42" i="5"/>
  <c r="L42" i="5"/>
  <c r="V44" i="5"/>
  <c r="T44" i="5"/>
  <c r="L44" i="5"/>
  <c r="N44" i="5"/>
  <c r="V43" i="5"/>
  <c r="T43" i="5"/>
  <c r="L40" i="5"/>
  <c r="N40" i="5"/>
  <c r="N43" i="5"/>
  <c r="L43" i="5"/>
  <c r="L41" i="5"/>
  <c r="N41" i="5"/>
  <c r="V41" i="5"/>
  <c r="T41" i="5"/>
  <c r="V42" i="5"/>
  <c r="T42" i="5"/>
  <c r="N45" i="5"/>
  <c r="L45" i="5"/>
  <c r="T45" i="5" l="1"/>
  <c r="M45" i="5" s="1"/>
  <c r="AB3" i="5"/>
  <c r="X3" i="5"/>
  <c r="T3" i="5"/>
  <c r="P3" i="5"/>
  <c r="L3" i="5"/>
  <c r="H3" i="5"/>
  <c r="D3" i="5"/>
  <c r="AA3" i="5"/>
  <c r="Y3" i="5"/>
  <c r="W3" i="5"/>
  <c r="U3" i="5"/>
  <c r="S3" i="5"/>
  <c r="Q3" i="5"/>
  <c r="O3" i="5"/>
  <c r="M3" i="5"/>
  <c r="K3" i="5"/>
  <c r="I3" i="5"/>
  <c r="G3" i="5"/>
  <c r="E3" i="5"/>
  <c r="C3" i="5"/>
  <c r="Z3" i="5"/>
  <c r="V3" i="5"/>
  <c r="R3" i="5"/>
  <c r="N3" i="5"/>
  <c r="J3" i="5"/>
  <c r="F3" i="5"/>
  <c r="AB4" i="5"/>
  <c r="Z4" i="5"/>
  <c r="X4" i="5"/>
  <c r="V4" i="5"/>
  <c r="T4" i="5"/>
  <c r="R4" i="5"/>
  <c r="P4" i="5"/>
  <c r="N4" i="5"/>
  <c r="L4" i="5"/>
  <c r="J4" i="5"/>
  <c r="F4" i="5"/>
  <c r="AA4" i="5"/>
  <c r="Y4" i="5"/>
  <c r="W4" i="5"/>
  <c r="U4" i="5"/>
  <c r="S4" i="5"/>
  <c r="Q4" i="5"/>
  <c r="O4" i="5"/>
  <c r="M4" i="5"/>
  <c r="K4" i="5"/>
  <c r="I4" i="5"/>
  <c r="G4" i="5"/>
  <c r="E4" i="5"/>
  <c r="C4" i="5"/>
  <c r="H4" i="5"/>
  <c r="D4" i="5"/>
  <c r="M41" i="5"/>
  <c r="M40" i="5"/>
  <c r="M44" i="5"/>
  <c r="V45" i="5"/>
  <c r="O45" i="5" s="1"/>
  <c r="R6" i="5" l="1"/>
  <c r="Z16" i="5"/>
  <c r="U40" i="5"/>
  <c r="M42" i="5"/>
  <c r="Z17" i="5"/>
  <c r="C5" i="5"/>
  <c r="AA17" i="5"/>
  <c r="AA16" i="5"/>
  <c r="U42" i="5"/>
  <c r="W40" i="5"/>
  <c r="O42" i="5"/>
  <c r="W42" i="5"/>
  <c r="Z10" i="5"/>
  <c r="AA10" i="5" s="1"/>
  <c r="O44" i="5"/>
  <c r="O40" i="5"/>
  <c r="O41" i="5"/>
  <c r="W44" i="5"/>
  <c r="W43" i="5"/>
  <c r="O43" i="5"/>
  <c r="W41" i="5"/>
  <c r="U44" i="5"/>
  <c r="U43" i="5"/>
  <c r="M43" i="5"/>
  <c r="U41" i="5"/>
  <c r="C6" i="5" l="1"/>
  <c r="D5" i="5"/>
  <c r="E5" i="5" s="1"/>
  <c r="D6" i="5" l="1"/>
  <c r="F5" i="5"/>
  <c r="E6" i="5"/>
  <c r="G5" i="5" l="1"/>
  <c r="G6" i="5" s="1"/>
  <c r="F6" i="5"/>
  <c r="H5" i="5" l="1"/>
  <c r="I5" i="5" l="1"/>
  <c r="Z9" i="5" s="1"/>
  <c r="H6" i="5"/>
  <c r="AB17" i="5" l="1"/>
  <c r="AB16" i="5"/>
  <c r="Z18" i="5"/>
  <c r="AA18" i="5"/>
  <c r="AB18" i="5"/>
  <c r="I6" i="5"/>
  <c r="Z11" i="5"/>
  <c r="AA11" i="5" s="1"/>
  <c r="AA9" i="5"/>
  <c r="AA19" i="5" l="1"/>
  <c r="AB19" i="5"/>
  <c r="Z19" i="5"/>
  <c r="AA12" i="5"/>
</calcChain>
</file>

<file path=xl/sharedStrings.xml><?xml version="1.0" encoding="utf-8"?>
<sst xmlns="http://schemas.openxmlformats.org/spreadsheetml/2006/main" count="48" uniqueCount="26">
  <si>
    <t>Implementation</t>
  </si>
  <si>
    <t>Specification</t>
  </si>
  <si>
    <t>Design</t>
  </si>
  <si>
    <t>Closed</t>
  </si>
  <si>
    <t>G</t>
  </si>
  <si>
    <t>O</t>
  </si>
  <si>
    <t>R</t>
  </si>
  <si>
    <t>Y</t>
  </si>
  <si>
    <t>TBD</t>
  </si>
  <si>
    <t>Duration</t>
  </si>
  <si>
    <t>Open</t>
  </si>
  <si>
    <t>Cross checks</t>
  </si>
  <si>
    <t>Status of the changes</t>
  </si>
  <si>
    <t>Total</t>
  </si>
  <si>
    <t>&gt; 3M</t>
  </si>
  <si>
    <t>&lt; 1 Wk</t>
  </si>
  <si>
    <t>1-2 Wks</t>
  </si>
  <si>
    <t>2 Wks-1 M</t>
  </si>
  <si>
    <t>1-2 M</t>
  </si>
  <si>
    <t>2-3 M</t>
  </si>
  <si>
    <t>Types</t>
  </si>
  <si>
    <t>New</t>
  </si>
  <si>
    <t>Evol</t>
  </si>
  <si>
    <t>Avg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</si>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</sst>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10" applyNumberFormat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10"/>
  </cellStyleXfs>
  <cellXfs count="119">
    <xf numFmtId="0" fontId="0" fillId="0" borderId="0" xfId="0"/>
    <xf numFmtId="17" fontId="0" fillId="0" borderId="0" xfId="0" applyNumberFormat="1"/>
    <xf numFmtId="0" fontId="16" fillId="0" borderId="20" xfId="0" applyFont="1" applyBorder="1"/>
    <xf numFmtId="0" fontId="0" fillId="0" borderId="24" xfId="0" applyBorder="1"/>
    <xf numFmtId="0" fontId="0" fillId="0" borderId="27" xfId="0" applyBorder="1"/>
    <xf numFmtId="0" fontId="0" fillId="33" borderId="30" xfId="0" applyFill="1" applyBorder="1"/>
    <xf numFmtId="0" fontId="0" fillId="0" borderId="32" xfId="0" applyBorder="1"/>
    <xf numFmtId="17" fontId="18" fillId="0" borderId="11" xfId="0" applyNumberFormat="1" applyFont="1" applyBorder="1"/>
    <xf numFmtId="17" fontId="18" fillId="0" borderId="12" xfId="0" applyNumberFormat="1" applyFont="1" applyBorder="1"/>
    <xf numFmtId="17" fontId="18" fillId="0" borderId="13" xfId="0" applyNumberFormat="1" applyFont="1" applyBorder="1"/>
    <xf numFmtId="0" fontId="18" fillId="35" borderId="14" xfId="0" applyFont="1" applyFill="1" applyBorder="1"/>
    <xf numFmtId="0" fontId="18" fillId="35" borderId="15" xfId="0" applyFont="1" applyFill="1" applyBorder="1"/>
    <xf numFmtId="0" fontId="18" fillId="35" borderId="0" xfId="0" applyFont="1" applyFill="1" applyBorder="1"/>
    <xf numFmtId="0" fontId="0" fillId="0" borderId="20" xfId="0" applyBorder="1"/>
    <xf numFmtId="0" fontId="0" fillId="0" borderId="20" xfId="0" applyBorder="1" applyAlignment="1"/>
    <xf numFmtId="0" fontId="0" fillId="0" borderId="3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33" borderId="22" xfId="0" applyFill="1" applyBorder="1" applyAlignment="1">
      <alignment horizontal="center"/>
    </xf>
    <xf numFmtId="0" fontId="0" fillId="33" borderId="25" xfId="0" applyFill="1" applyBorder="1" applyAlignment="1">
      <alignment horizontal="center"/>
    </xf>
    <xf numFmtId="0" fontId="0" fillId="33" borderId="29" xfId="0" applyFill="1" applyBorder="1" applyAlignment="1">
      <alignment horizontal="center"/>
    </xf>
    <xf numFmtId="0" fontId="0" fillId="34" borderId="47" xfId="0" applyFill="1" applyBorder="1" applyAlignment="1">
      <alignment horizontal="center"/>
    </xf>
    <xf numFmtId="0" fontId="0" fillId="34" borderId="25" xfId="0" applyFill="1" applyBorder="1" applyAlignment="1">
      <alignment horizontal="center"/>
    </xf>
    <xf numFmtId="0" fontId="0" fillId="34" borderId="29" xfId="0" applyFill="1" applyBorder="1" applyAlignment="1">
      <alignment horizontal="center"/>
    </xf>
    <xf numFmtId="0" fontId="0" fillId="34" borderId="36" xfId="0" applyFill="1" applyBorder="1" applyAlignment="1">
      <alignment horizontal="center"/>
    </xf>
    <xf numFmtId="0" fontId="0" fillId="34" borderId="10" xfId="0" applyFill="1" applyBorder="1" applyAlignment="1">
      <alignment horizontal="center"/>
    </xf>
    <xf numFmtId="0" fontId="0" fillId="34" borderId="30" xfId="0" applyFill="1" applyBorder="1" applyAlignment="1">
      <alignment horizontal="center"/>
    </xf>
    <xf numFmtId="0" fontId="0" fillId="33" borderId="38" xfId="0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1" xfId="0" applyBorder="1" applyAlignment="1">
      <alignment horizontal="center"/>
    </xf>
    <xf numFmtId="9" fontId="0" fillId="33" borderId="23" xfId="42" applyNumberFormat="1" applyFont="1" applyFill="1" applyBorder="1" applyAlignment="1">
      <alignment horizontal="center"/>
    </xf>
    <xf numFmtId="9" fontId="0" fillId="33" borderId="26" xfId="42" applyNumberFormat="1" applyFont="1" applyFill="1" applyBorder="1" applyAlignment="1">
      <alignment horizontal="center"/>
    </xf>
    <xf numFmtId="0" fontId="0" fillId="33" borderId="31" xfId="0" applyFill="1" applyBorder="1" applyAlignment="1">
      <alignment horizontal="center"/>
    </xf>
    <xf numFmtId="9" fontId="0" fillId="33" borderId="45" xfId="42" applyFont="1" applyFill="1" applyBorder="1" applyAlignment="1">
      <alignment horizontal="center"/>
    </xf>
    <xf numFmtId="9" fontId="0" fillId="33" borderId="42" xfId="42" applyFont="1" applyFill="1" applyBorder="1" applyAlignment="1">
      <alignment horizontal="center"/>
    </xf>
    <xf numFmtId="9" fontId="0" fillId="33" borderId="46" xfId="42" applyFont="1" applyFill="1" applyBorder="1" applyAlignment="1">
      <alignment horizontal="center"/>
    </xf>
    <xf numFmtId="9" fontId="0" fillId="34" borderId="23" xfId="42" applyNumberFormat="1" applyFont="1" applyFill="1" applyBorder="1" applyAlignment="1">
      <alignment horizontal="center"/>
    </xf>
    <xf numFmtId="9" fontId="0" fillId="34" borderId="26" xfId="42" applyNumberFormat="1" applyFont="1" applyFill="1" applyBorder="1" applyAlignment="1">
      <alignment horizontal="center"/>
    </xf>
    <xf numFmtId="0" fontId="0" fillId="34" borderId="31" xfId="0" applyFill="1" applyBorder="1" applyAlignment="1">
      <alignment horizontal="center"/>
    </xf>
    <xf numFmtId="9" fontId="0" fillId="34" borderId="37" xfId="42" applyFont="1" applyFill="1" applyBorder="1" applyAlignment="1">
      <alignment horizontal="center"/>
    </xf>
    <xf numFmtId="9" fontId="0" fillId="34" borderId="26" xfId="42" applyFont="1" applyFill="1" applyBorder="1" applyAlignment="1">
      <alignment horizontal="center"/>
    </xf>
    <xf numFmtId="9" fontId="0" fillId="34" borderId="31" xfId="42" applyFont="1" applyFill="1" applyBorder="1" applyAlignment="1">
      <alignment horizontal="center"/>
    </xf>
    <xf numFmtId="0" fontId="0" fillId="36" borderId="26" xfId="0" applyFill="1" applyBorder="1"/>
    <xf numFmtId="0" fontId="0" fillId="36" borderId="29" xfId="0" applyFill="1" applyBorder="1" applyAlignment="1">
      <alignment horizontal="center"/>
    </xf>
    <xf numFmtId="0" fontId="0" fillId="36" borderId="22" xfId="0" applyFill="1" applyBorder="1" applyAlignment="1">
      <alignment horizontal="center"/>
    </xf>
    <xf numFmtId="0" fontId="0" fillId="36" borderId="25" xfId="0" applyFill="1" applyBorder="1" applyAlignment="1">
      <alignment horizontal="center"/>
    </xf>
    <xf numFmtId="0" fontId="0" fillId="36" borderId="31" xfId="0" applyFill="1" applyBorder="1" applyAlignment="1">
      <alignment horizontal="center"/>
    </xf>
    <xf numFmtId="9" fontId="0" fillId="36" borderId="23" xfId="42" applyFont="1" applyFill="1" applyBorder="1" applyAlignment="1">
      <alignment horizontal="center"/>
    </xf>
    <xf numFmtId="9" fontId="0" fillId="36" borderId="26" xfId="42" applyFont="1" applyFill="1" applyBorder="1" applyAlignment="1">
      <alignment horizontal="center"/>
    </xf>
    <xf numFmtId="9" fontId="0" fillId="36" borderId="31" xfId="42" applyFont="1" applyFill="1" applyBorder="1" applyAlignment="1">
      <alignment horizontal="center"/>
    </xf>
    <xf numFmtId="0" fontId="0" fillId="36" borderId="19" xfId="0" applyFill="1" applyBorder="1" applyAlignment="1">
      <alignment horizontal="center"/>
    </xf>
    <xf numFmtId="0" fontId="0" fillId="34" borderId="36" xfId="0" applyFill="1" applyBorder="1"/>
    <xf numFmtId="0" fontId="0" fillId="34" borderId="37" xfId="0" applyFill="1" applyBorder="1"/>
    <xf numFmtId="0" fontId="0" fillId="36" borderId="10" xfId="0" applyFill="1" applyBorder="1"/>
    <xf numFmtId="0" fontId="0" fillId="34" borderId="22" xfId="0" applyFill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33" borderId="31" xfId="0" applyFont="1" applyFill="1" applyBorder="1"/>
    <xf numFmtId="0" fontId="0" fillId="0" borderId="44" xfId="0" applyBorder="1" applyAlignment="1">
      <alignment horizontal="left"/>
    </xf>
    <xf numFmtId="0" fontId="18" fillId="34" borderId="0" xfId="0" applyFont="1" applyFill="1" applyBorder="1"/>
    <xf numFmtId="0" fontId="18" fillId="34" borderId="14" xfId="0" applyFont="1" applyFill="1" applyBorder="1"/>
    <xf numFmtId="0" fontId="18" fillId="34" borderId="15" xfId="0" applyFont="1" applyFill="1" applyBorder="1"/>
    <xf numFmtId="0" fontId="0" fillId="37" borderId="16" xfId="0" applyFill="1" applyBorder="1"/>
    <xf numFmtId="0" fontId="0" fillId="37" borderId="17" xfId="0" applyFill="1" applyBorder="1"/>
    <xf numFmtId="0" fontId="0" fillId="37" borderId="18" xfId="0" applyFill="1" applyBorder="1"/>
    <xf numFmtId="0" fontId="18" fillId="36" borderId="14" xfId="0" applyFont="1" applyFill="1" applyBorder="1"/>
    <xf numFmtId="0" fontId="18" fillId="36" borderId="15" xfId="0" applyFont="1" applyFill="1" applyBorder="1"/>
    <xf numFmtId="0" fontId="18" fillId="36" borderId="0" xfId="0" applyFont="1" applyFill="1" applyBorder="1"/>
    <xf numFmtId="0" fontId="0" fillId="35" borderId="54" xfId="0" applyFill="1" applyBorder="1"/>
    <xf numFmtId="0" fontId="0" fillId="34" borderId="10" xfId="0" applyFill="1" applyBorder="1"/>
    <xf numFmtId="0" fontId="0" fillId="37" borderId="30" xfId="0" applyFill="1" applyBorder="1"/>
    <xf numFmtId="0" fontId="0" fillId="0" borderId="0" xfId="0" applyBorder="1"/>
    <xf numFmtId="0" fontId="0" fillId="0" borderId="0" xfId="0" applyFont="1" applyBorder="1" applyAlignment="1"/>
    <xf numFmtId="0" fontId="0" fillId="35" borderId="56" xfId="0" applyFill="1" applyBorder="1"/>
    <xf numFmtId="0" fontId="0" fillId="36" borderId="28" xfId="0" applyFill="1" applyBorder="1"/>
    <xf numFmtId="0" fontId="0" fillId="34" borderId="28" xfId="0" applyFill="1" applyBorder="1"/>
    <xf numFmtId="0" fontId="0" fillId="37" borderId="33" xfId="0" applyFill="1" applyBorder="1"/>
    <xf numFmtId="0" fontId="16" fillId="0" borderId="21" xfId="0" applyFont="1" applyBorder="1" applyAlignment="1">
      <alignment horizontal="right"/>
    </xf>
    <xf numFmtId="0" fontId="16" fillId="0" borderId="55" xfId="0" applyFont="1" applyBorder="1" applyAlignment="1">
      <alignment horizontal="right"/>
    </xf>
    <xf numFmtId="0" fontId="16" fillId="0" borderId="19" xfId="0" applyFont="1" applyBorder="1" applyAlignment="1">
      <alignment horizontal="right"/>
    </xf>
    <xf numFmtId="164" fontId="0" fillId="35" borderId="23" xfId="0" applyNumberFormat="1" applyFill="1" applyBorder="1"/>
    <xf numFmtId="164" fontId="0" fillId="36" borderId="26" xfId="0" applyNumberFormat="1" applyFill="1" applyBorder="1"/>
    <xf numFmtId="164" fontId="0" fillId="34" borderId="26" xfId="0" applyNumberFormat="1" applyFill="1" applyBorder="1"/>
    <xf numFmtId="164" fontId="0" fillId="37" borderId="31" xfId="0" applyNumberFormat="1" applyFill="1" applyBorder="1"/>
    <xf numFmtId="0" fontId="0" fillId="0" borderId="0" xfId="0" applyFont="1" applyFill="1" applyBorder="1" applyAlignment="1">
      <alignment horizontal="right"/>
    </xf>
    <xf numFmtId="0" fontId="0" fillId="35" borderId="14" xfId="0" applyFill="1" applyBorder="1"/>
    <xf numFmtId="0" fontId="0" fillId="35" borderId="15" xfId="0" applyFill="1" applyBorder="1"/>
    <xf numFmtId="0" fontId="0" fillId="35" borderId="0" xfId="0" applyFill="1" applyBorder="1"/>
    <xf numFmtId="0" fontId="0" fillId="35" borderId="23" xfId="0" applyFill="1" applyBorder="1"/>
    <xf numFmtId="0" fontId="0" fillId="36" borderId="16" xfId="0" applyFill="1" applyBorder="1"/>
    <xf numFmtId="0" fontId="0" fillId="36" borderId="17" xfId="0" applyFill="1" applyBorder="1"/>
    <xf numFmtId="0" fontId="0" fillId="36" borderId="18" xfId="0" applyFill="1" applyBorder="1"/>
    <xf numFmtId="0" fontId="0" fillId="36" borderId="33" xfId="0" applyFill="1" applyBorder="1"/>
    <xf numFmtId="0" fontId="0" fillId="36" borderId="31" xfId="0" applyFill="1" applyBorder="1"/>
    <xf numFmtId="0" fontId="16" fillId="0" borderId="40" xfId="0" applyFont="1" applyBorder="1" applyAlignment="1">
      <alignment horizontal="left"/>
    </xf>
    <xf numFmtId="0" fontId="16" fillId="0" borderId="34" xfId="0" applyFont="1" applyBorder="1" applyAlignment="1">
      <alignment horizontal="left"/>
    </xf>
    <xf numFmtId="0" fontId="16" fillId="0" borderId="41" xfId="0" applyFont="1" applyBorder="1" applyAlignment="1">
      <alignment horizontal="left"/>
    </xf>
    <xf numFmtId="0" fontId="16" fillId="33" borderId="40" xfId="0" applyFont="1" applyFill="1" applyBorder="1" applyAlignment="1">
      <alignment horizontal="center"/>
    </xf>
    <xf numFmtId="0" fontId="16" fillId="33" borderId="41" xfId="0" applyFont="1" applyFill="1" applyBorder="1" applyAlignment="1">
      <alignment horizontal="center"/>
    </xf>
    <xf numFmtId="0" fontId="16" fillId="36" borderId="40" xfId="0" applyFont="1" applyFill="1" applyBorder="1" applyAlignment="1">
      <alignment horizontal="center"/>
    </xf>
    <xf numFmtId="0" fontId="16" fillId="36" borderId="41" xfId="0" applyFont="1" applyFill="1" applyBorder="1" applyAlignment="1">
      <alignment horizontal="center"/>
    </xf>
    <xf numFmtId="0" fontId="16" fillId="34" borderId="40" xfId="0" applyFont="1" applyFill="1" applyBorder="1" applyAlignment="1">
      <alignment horizontal="center"/>
    </xf>
    <xf numFmtId="0" fontId="16" fillId="34" borderId="41" xfId="0" applyFont="1" applyFill="1" applyBorder="1" applyAlignment="1">
      <alignment horizontal="center"/>
    </xf>
    <xf numFmtId="0" fontId="0" fillId="0" borderId="40" xfId="0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52" xfId="0" applyBorder="1" applyAlignment="1">
      <alignment horizontal="left"/>
    </xf>
    <xf numFmtId="0" fontId="0" fillId="0" borderId="44" xfId="0" applyBorder="1" applyAlignment="1">
      <alignment horizontal="left"/>
    </xf>
    <xf numFmtId="0" fontId="0" fillId="0" borderId="53" xfId="0" applyBorder="1" applyAlignment="1">
      <alignment horizontal="left"/>
    </xf>
    <xf numFmtId="0" fontId="0" fillId="0" borderId="50" xfId="0" applyBorder="1" applyAlignment="1">
      <alignment horizontal="left"/>
    </xf>
    <xf numFmtId="0" fontId="0" fillId="0" borderId="35" xfId="0" applyBorder="1" applyAlignment="1">
      <alignment horizontal="left"/>
    </xf>
    <xf numFmtId="0" fontId="0" fillId="34" borderId="48" xfId="0" applyFill="1" applyBorder="1" applyAlignment="1">
      <alignment horizontal="center" vertical="center"/>
    </xf>
    <xf numFmtId="0" fontId="0" fillId="34" borderId="49" xfId="0" applyFill="1" applyBorder="1" applyAlignment="1">
      <alignment horizontal="center" vertical="center"/>
    </xf>
    <xf numFmtId="0" fontId="0" fillId="34" borderId="38" xfId="0" applyFill="1" applyBorder="1" applyAlignment="1">
      <alignment horizontal="center" vertical="center"/>
    </xf>
    <xf numFmtId="0" fontId="0" fillId="0" borderId="51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33" xfId="0" applyBorder="1" applyAlignment="1">
      <alignment horizontal="left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Border" xfId="43"/>
    <cellStyle name="Note" xfId="15" builtinId="10" customBuiltin="1"/>
    <cellStyle name="Output" xfId="10" builtinId="21" customBuiltin="1"/>
    <cellStyle name="Percent" xfId="42" builtinId="5"/>
    <cellStyle name="Title" xfId="1" builtinId="15" customBuiltin="1"/>
    <cellStyle name="Total" xfId="17" builtinId="25" customBuiltin="1"/>
    <cellStyle name="Warning Text" xfId="14" builtinId="11" customBuiltin="1"/>
  </cellStyles>
  <dxfs count="3">
    <dxf>
      <font>
        <strike val="0"/>
        <color theme="5"/>
      </font>
    </dxf>
    <dxf>
      <font>
        <strike val="0"/>
        <color theme="9"/>
      </font>
    </dxf>
    <dxf>
      <font>
        <strike val="0"/>
        <color theme="5"/>
      </font>
    </dxf>
  </dxfs>
  <tableStyles count="0" defaultTableStyle="TableStyleMedium2" defaultPivotStyle="PivotStyleLight16"/>
  <colors>
    <mruColors>
      <color rgb="FFF9630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Changes</a:t>
            </a:r>
            <a:r>
              <a:rPr lang="en-GB" baseline="0"/>
              <a:t> evolution</a:t>
            </a:r>
            <a:endParaRPr lang="en-GB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3"/>
          <c:order val="3"/>
          <c:tx>
            <c:strRef>
              <c:f>Dashboard!$B$6</c:f>
              <c:strCache>
                <c:ptCount val="1"/>
                <c:pt idx="0">
                  <c:v>Evol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Dashboard!$C$2:$I$2</c:f>
              <c:numCache>
                <c:formatCode>mmm\-yy</c:formatCode>
                <c:ptCount val="7"/>
                <c:pt idx="0">
                  <c:v>41214</c:v>
                </c:pt>
                <c:pt idx="1">
                  <c:v>41244</c:v>
                </c:pt>
                <c:pt idx="2">
                  <c:v>41275</c:v>
                </c:pt>
                <c:pt idx="3">
                  <c:v>41306</c:v>
                </c:pt>
                <c:pt idx="4">
                  <c:v>41334</c:v>
                </c:pt>
                <c:pt idx="5">
                  <c:v>41365</c:v>
                </c:pt>
                <c:pt idx="6">
                  <c:v>41395</c:v>
                </c:pt>
              </c:numCache>
            </c:numRef>
          </c:cat>
          <c:val>
            <c:numRef>
              <c:f>Dashboard!$C$6:$I$6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74433024"/>
        <c:axId val="922234880"/>
      </c:barChart>
      <c:lineChart>
        <c:grouping val="standard"/>
        <c:varyColors val="0"/>
        <c:ser>
          <c:idx val="1"/>
          <c:order val="0"/>
          <c:tx>
            <c:strRef>
              <c:f>Dashboard!$B$3</c:f>
              <c:strCache>
                <c:ptCount val="1"/>
                <c:pt idx="0">
                  <c:v>New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Dashboard!$C$2:$I$2</c:f>
              <c:numCache>
                <c:formatCode>mmm\-yy</c:formatCode>
                <c:ptCount val="7"/>
                <c:pt idx="0">
                  <c:v>41214</c:v>
                </c:pt>
                <c:pt idx="1">
                  <c:v>41244</c:v>
                </c:pt>
                <c:pt idx="2">
                  <c:v>41275</c:v>
                </c:pt>
                <c:pt idx="3">
                  <c:v>41306</c:v>
                </c:pt>
                <c:pt idx="4">
                  <c:v>41334</c:v>
                </c:pt>
                <c:pt idx="5">
                  <c:v>41365</c:v>
                </c:pt>
                <c:pt idx="6">
                  <c:v>41395</c:v>
                </c:pt>
              </c:numCache>
            </c:numRef>
          </c:cat>
          <c:val>
            <c:numRef>
              <c:f>Dashboard!$C$3:$I$3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Dashboard!$B$4</c:f>
              <c:strCache>
                <c:ptCount val="1"/>
                <c:pt idx="0">
                  <c:v>Closed</c:v>
                </c:pt>
              </c:strCache>
            </c:strRef>
          </c:tx>
          <c:spPr>
            <a:ln>
              <a:solidFill>
                <a:schemeClr val="accent6"/>
              </a:solidFill>
            </a:ln>
          </c:spPr>
          <c:marker>
            <c:symbol val="triangle"/>
            <c:size val="7"/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Dashboard!$C$2:$I$2</c:f>
              <c:numCache>
                <c:formatCode>mmm\-yy</c:formatCode>
                <c:ptCount val="7"/>
                <c:pt idx="0">
                  <c:v>41214</c:v>
                </c:pt>
                <c:pt idx="1">
                  <c:v>41244</c:v>
                </c:pt>
                <c:pt idx="2">
                  <c:v>41275</c:v>
                </c:pt>
                <c:pt idx="3">
                  <c:v>41306</c:v>
                </c:pt>
                <c:pt idx="4">
                  <c:v>41334</c:v>
                </c:pt>
                <c:pt idx="5">
                  <c:v>41365</c:v>
                </c:pt>
                <c:pt idx="6">
                  <c:v>41395</c:v>
                </c:pt>
              </c:numCache>
            </c:numRef>
          </c:cat>
          <c:val>
            <c:numRef>
              <c:f>Dashboard!$C$4:$I$4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ser>
          <c:idx val="0"/>
          <c:order val="2"/>
          <c:tx>
            <c:strRef>
              <c:f>Dashboard!$B$5</c:f>
              <c:strCache>
                <c:ptCount val="1"/>
                <c:pt idx="0">
                  <c:v>Open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Dashboard!$C$2:$I$2</c:f>
              <c:numCache>
                <c:formatCode>mmm\-yy</c:formatCode>
                <c:ptCount val="7"/>
                <c:pt idx="0">
                  <c:v>41214</c:v>
                </c:pt>
                <c:pt idx="1">
                  <c:v>41244</c:v>
                </c:pt>
                <c:pt idx="2">
                  <c:v>41275</c:v>
                </c:pt>
                <c:pt idx="3">
                  <c:v>41306</c:v>
                </c:pt>
                <c:pt idx="4">
                  <c:v>41334</c:v>
                </c:pt>
                <c:pt idx="5">
                  <c:v>41365</c:v>
                </c:pt>
                <c:pt idx="6">
                  <c:v>41395</c:v>
                </c:pt>
              </c:numCache>
            </c:numRef>
          </c:cat>
          <c:val>
            <c:numRef>
              <c:f>Dashboard!$C$5:$I$5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4433024"/>
        <c:axId val="922234880"/>
      </c:lineChart>
      <c:dateAx>
        <c:axId val="77443302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922234880"/>
        <c:crosses val="autoZero"/>
        <c:auto val="1"/>
        <c:lblOffset val="100"/>
        <c:baseTimeUnit val="months"/>
      </c:dateAx>
      <c:valAx>
        <c:axId val="92223488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Number of changes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77443302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Status of open changes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chemeClr val="accent1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Dashboard!$C$40:$C$42</c:f>
              <c:strCache>
                <c:ptCount val="3"/>
                <c:pt idx="0">
                  <c:v>Specification</c:v>
                </c:pt>
                <c:pt idx="1">
                  <c:v>Design</c:v>
                </c:pt>
                <c:pt idx="2">
                  <c:v>Implementation</c:v>
                </c:pt>
              </c:strCache>
            </c:strRef>
          </c:cat>
          <c:val>
            <c:numRef>
              <c:f>Dashboard!$E$40:$E$42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0376704"/>
        <c:axId val="1650378240"/>
      </c:barChart>
      <c:catAx>
        <c:axId val="1650376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50378240"/>
        <c:crosses val="autoZero"/>
        <c:auto val="1"/>
        <c:lblAlgn val="ctr"/>
        <c:lblOffset val="100"/>
        <c:noMultiLvlLbl val="0"/>
      </c:catAx>
      <c:valAx>
        <c:axId val="16503782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503767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Change</a:t>
            </a:r>
            <a:r>
              <a:rPr lang="en-GB" baseline="0"/>
              <a:t> types</a:t>
            </a:r>
            <a:endParaRPr lang="en-GB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1050239744766886E-2"/>
          <c:y val="0.28563366141580476"/>
          <c:w val="0.91303692162154637"/>
          <c:h val="0.5939360712410323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Dashboard!$R$39:$S$39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Dashboard!$R$40:$R$44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2"/>
          <c:order val="1"/>
          <c:tx>
            <c:strRef>
              <c:f>Dashboard!$T$39:$U$39</c:f>
              <c:strCache>
                <c:ptCount val="1"/>
                <c:pt idx="0">
                  <c:v>Closed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dLbls>
            <c:spPr>
              <a:noFill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Dashboard!$T$40:$T$44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"/>
          <c:order val="2"/>
          <c:tx>
            <c:strRef>
              <c:f>Dashboard!$V$39</c:f>
              <c:strCache>
                <c:ptCount val="1"/>
                <c:pt idx="0">
                  <c:v>Open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Dashboard!$Q$40:$Q$44</c:f>
              <c:strCache>
                <c:ptCount val="5"/>
                <c:pt idx="0">
                  <c:v>G</c:v>
                </c:pt>
                <c:pt idx="1">
                  <c:v>Y</c:v>
                </c:pt>
                <c:pt idx="2">
                  <c:v>O</c:v>
                </c:pt>
                <c:pt idx="3">
                  <c:v>R</c:v>
                </c:pt>
                <c:pt idx="4">
                  <c:v>TBD</c:v>
                </c:pt>
              </c:strCache>
            </c:strRef>
          </c:cat>
          <c:val>
            <c:numRef>
              <c:f>Dashboard!$V$40:$V$44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0434432"/>
        <c:axId val="1650435968"/>
      </c:barChart>
      <c:catAx>
        <c:axId val="1650434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50435968"/>
        <c:crosses val="autoZero"/>
        <c:auto val="1"/>
        <c:lblAlgn val="ctr"/>
        <c:lblOffset val="100"/>
        <c:noMultiLvlLbl val="0"/>
      </c:catAx>
      <c:valAx>
        <c:axId val="16504359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50434432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Change</a:t>
            </a:r>
            <a:r>
              <a:rPr lang="en-GB" baseline="0"/>
              <a:t> duration</a:t>
            </a:r>
            <a:endParaRPr lang="en-GB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Dashboard!$J$39:$K$39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Dashboard!$J$40:$J$45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0"/>
          <c:order val="1"/>
          <c:tx>
            <c:strRef>
              <c:f>Dashboard!$L$39:$M$39</c:f>
              <c:strCache>
                <c:ptCount val="1"/>
                <c:pt idx="0">
                  <c:v>Closed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Dashboard!$L$40:$L$45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2"/>
          <c:order val="2"/>
          <c:tx>
            <c:strRef>
              <c:f>Dashboard!$N$39</c:f>
              <c:strCache>
                <c:ptCount val="1"/>
                <c:pt idx="0">
                  <c:v>Open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Dashboard!$H$40:$I$45</c:f>
              <c:strCache>
                <c:ptCount val="6"/>
                <c:pt idx="0">
                  <c:v>&lt; 1 Wk</c:v>
                </c:pt>
                <c:pt idx="1">
                  <c:v>1-2 Wks</c:v>
                </c:pt>
                <c:pt idx="2">
                  <c:v>2 Wks-1 M</c:v>
                </c:pt>
                <c:pt idx="3">
                  <c:v>1-2 M</c:v>
                </c:pt>
                <c:pt idx="4">
                  <c:v>2-3 M</c:v>
                </c:pt>
                <c:pt idx="5">
                  <c:v>&gt; 3M</c:v>
                </c:pt>
              </c:strCache>
            </c:strRef>
          </c:cat>
          <c:val>
            <c:numRef>
              <c:f>Dashboard!$N$40:$N$45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0467584"/>
        <c:axId val="1650469120"/>
      </c:barChart>
      <c:catAx>
        <c:axId val="1650467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50469120"/>
        <c:crosses val="autoZero"/>
        <c:auto val="1"/>
        <c:lblAlgn val="ctr"/>
        <c:lblOffset val="100"/>
        <c:noMultiLvlLbl val="0"/>
      </c:catAx>
      <c:valAx>
        <c:axId val="16504691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50467584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71438</xdr:colOff>
      <xdr:row>7</xdr:row>
      <xdr:rowOff>0</xdr:rowOff>
    </xdr:from>
    <xdr:to>
      <xdr:col>12</xdr:col>
      <xdr:colOff>0</xdr:colOff>
      <xdr:row>22</xdr:row>
      <xdr:rowOff>4763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483393</xdr:colOff>
      <xdr:row>7</xdr:row>
      <xdr:rowOff>0</xdr:rowOff>
    </xdr:from>
    <xdr:to>
      <xdr:col>23</xdr:col>
      <xdr:colOff>0</xdr:colOff>
      <xdr:row>22</xdr:row>
      <xdr:rowOff>4763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4761</xdr:colOff>
      <xdr:row>22</xdr:row>
      <xdr:rowOff>11907</xdr:rowOff>
    </xdr:from>
    <xdr:to>
      <xdr:col>22</xdr:col>
      <xdr:colOff>476250</xdr:colOff>
      <xdr:row>37</xdr:row>
      <xdr:rowOff>7145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9524</xdr:colOff>
      <xdr:row>22</xdr:row>
      <xdr:rowOff>9525</xdr:rowOff>
    </xdr:from>
    <xdr:to>
      <xdr:col>12</xdr:col>
      <xdr:colOff>0</xdr:colOff>
      <xdr:row>37</xdr:row>
      <xdr:rowOff>4763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D45"/>
  <sheetViews>
    <sheetView topLeftCell="A7" zoomScaleNormal="100" workbookViewId="0">
      <selection activeCell="AB27" sqref="AB27"/>
    </sheetView>
  </sheetViews>
  <sheetFormatPr defaultRowHeight="15" x14ac:dyDescent="0.25"/>
  <cols>
    <col min="1" max="1" width="1.140625" customWidth="1"/>
    <col min="2" max="2" width="8" bestFit="1" customWidth="1"/>
    <col min="3" max="4" width="7.28515625" customWidth="1"/>
    <col min="5" max="5" width="8" customWidth="1"/>
    <col min="6" max="6" width="7.28515625" customWidth="1"/>
    <col min="7" max="7" width="7.7109375" customWidth="1"/>
    <col min="8" max="8" width="7.28515625" customWidth="1"/>
    <col min="9" max="9" width="7.7109375" customWidth="1"/>
    <col min="10" max="18" width="7.28515625" customWidth="1"/>
    <col min="19" max="19" width="7.7109375" customWidth="1"/>
    <col min="20" max="20" width="7.28515625" customWidth="1"/>
    <col min="21" max="21" width="7.7109375" customWidth="1"/>
    <col min="22" max="28" width="7.28515625" customWidth="1"/>
  </cols>
  <sheetData>
    <row r="1" spans="2:30" ht="15.75" thickBot="1" x14ac:dyDescent="0.3"/>
    <row r="2" spans="2:30" s="1" customFormat="1" x14ac:dyDescent="0.25">
      <c r="C2" s="7">
        <v>41214</v>
      </c>
      <c r="D2" s="8">
        <v>41244</v>
      </c>
      <c r="E2" s="7">
        <v>41275</v>
      </c>
      <c r="F2" s="9">
        <v>41306</v>
      </c>
      <c r="G2" s="9">
        <v>41334</v>
      </c>
      <c r="H2" s="9">
        <v>41365</v>
      </c>
      <c r="I2" s="9">
        <v>41395</v>
      </c>
      <c r="J2" s="9">
        <v>41426</v>
      </c>
      <c r="K2" s="9">
        <v>41456</v>
      </c>
      <c r="L2" s="9">
        <v>41487</v>
      </c>
      <c r="M2" s="9">
        <v>41518</v>
      </c>
      <c r="N2" s="9">
        <v>41548</v>
      </c>
      <c r="O2" s="9">
        <v>41579</v>
      </c>
      <c r="P2" s="8">
        <v>41609</v>
      </c>
      <c r="Q2" s="7">
        <v>41640</v>
      </c>
      <c r="R2" s="9">
        <v>41671</v>
      </c>
      <c r="S2" s="9">
        <v>41699</v>
      </c>
      <c r="T2" s="9">
        <v>41730</v>
      </c>
      <c r="U2" s="9">
        <v>41760</v>
      </c>
      <c r="V2" s="9">
        <v>41791</v>
      </c>
      <c r="W2" s="9">
        <v>41821</v>
      </c>
      <c r="X2" s="9">
        <v>41852</v>
      </c>
      <c r="Y2" s="9">
        <v>41883</v>
      </c>
      <c r="Z2" s="9">
        <v>41913</v>
      </c>
      <c r="AA2" s="9">
        <v>41944</v>
      </c>
      <c r="AB2" s="8">
        <v>41974</v>
      </c>
    </row>
    <row r="3" spans="2:30" x14ac:dyDescent="0.25">
      <c r="B3" t="s">
        <v>21</v>
      </c>
      <c r="C3" s="10" t="e">
        <f>COUNTIFS(#REF!,MONTH(Dashboard!C2),#REF!,YEAR(Dashboard!C2))</f>
        <v>#REF!</v>
      </c>
      <c r="D3" s="11" t="e">
        <f>COUNTIFS(#REF!,MONTH(Dashboard!D2),#REF!,YEAR(Dashboard!D2))</f>
        <v>#REF!</v>
      </c>
      <c r="E3" s="10" t="e">
        <f>COUNTIFS(#REF!,MONTH(Dashboard!E2),#REF!,YEAR(Dashboard!E2))</f>
        <v>#REF!</v>
      </c>
      <c r="F3" s="12" t="e">
        <f>COUNTIFS(#REF!,MONTH(Dashboard!F2),#REF!,YEAR(Dashboard!F2))</f>
        <v>#REF!</v>
      </c>
      <c r="G3" s="12" t="e">
        <f>COUNTIFS(#REF!,MONTH(Dashboard!G2),#REF!,YEAR(Dashboard!G2))</f>
        <v>#REF!</v>
      </c>
      <c r="H3" s="12" t="e">
        <f>COUNTIFS(#REF!,MONTH(Dashboard!H2),#REF!,YEAR(Dashboard!H2))</f>
        <v>#REF!</v>
      </c>
      <c r="I3" s="12" t="e">
        <f>COUNTIFS(#REF!,MONTH(Dashboard!I2),#REF!,YEAR(Dashboard!I2))</f>
        <v>#REF!</v>
      </c>
      <c r="J3" s="12" t="e">
        <f>COUNTIFS(#REF!,MONTH(Dashboard!J2),#REF!,YEAR(Dashboard!J2))</f>
        <v>#REF!</v>
      </c>
      <c r="K3" s="12" t="e">
        <f>COUNTIFS(#REF!,MONTH(Dashboard!K2),#REF!,YEAR(Dashboard!K2))</f>
        <v>#REF!</v>
      </c>
      <c r="L3" s="12" t="e">
        <f>COUNTIFS(#REF!,MONTH(Dashboard!L2),#REF!,YEAR(Dashboard!L2))</f>
        <v>#REF!</v>
      </c>
      <c r="M3" s="12" t="e">
        <f>COUNTIFS(#REF!,MONTH(Dashboard!M2),#REF!,YEAR(Dashboard!M2))</f>
        <v>#REF!</v>
      </c>
      <c r="N3" s="12" t="e">
        <f>COUNTIFS(#REF!,MONTH(Dashboard!N2),#REF!,YEAR(Dashboard!N2))</f>
        <v>#REF!</v>
      </c>
      <c r="O3" s="12" t="e">
        <f>COUNTIFS(#REF!,MONTH(Dashboard!O2),#REF!,YEAR(Dashboard!O2))</f>
        <v>#REF!</v>
      </c>
      <c r="P3" s="11" t="e">
        <f>COUNTIFS(#REF!,MONTH(Dashboard!P2),#REF!,YEAR(Dashboard!P2))</f>
        <v>#REF!</v>
      </c>
      <c r="Q3" s="10" t="e">
        <f>COUNTIFS(#REF!,MONTH(Dashboard!Q2),#REF!,YEAR(Dashboard!Q2))</f>
        <v>#REF!</v>
      </c>
      <c r="R3" s="12" t="e">
        <f>COUNTIFS(#REF!,MONTH(Dashboard!R2),#REF!,YEAR(Dashboard!R2))</f>
        <v>#REF!</v>
      </c>
      <c r="S3" s="12" t="e">
        <f>COUNTIFS(#REF!,MONTH(Dashboard!S2),#REF!,YEAR(Dashboard!S2))</f>
        <v>#REF!</v>
      </c>
      <c r="T3" s="12" t="e">
        <f>COUNTIFS(#REF!,MONTH(Dashboard!T2),#REF!,YEAR(Dashboard!T2))</f>
        <v>#REF!</v>
      </c>
      <c r="U3" s="12" t="e">
        <f>COUNTIFS(#REF!,MONTH(Dashboard!U2),#REF!,YEAR(Dashboard!U2))</f>
        <v>#REF!</v>
      </c>
      <c r="V3" s="12" t="e">
        <f>COUNTIFS(#REF!,MONTH(Dashboard!V2),#REF!,YEAR(Dashboard!V2))</f>
        <v>#REF!</v>
      </c>
      <c r="W3" s="12" t="e">
        <f>COUNTIFS(#REF!,MONTH(Dashboard!W2),#REF!,YEAR(Dashboard!W2))</f>
        <v>#REF!</v>
      </c>
      <c r="X3" s="12" t="e">
        <f>COUNTIFS(#REF!,MONTH(Dashboard!X2),#REF!,YEAR(Dashboard!X2))</f>
        <v>#REF!</v>
      </c>
      <c r="Y3" s="12" t="e">
        <f>COUNTIFS(#REF!,MONTH(Dashboard!Y2),#REF!,YEAR(Dashboard!Y2))</f>
        <v>#REF!</v>
      </c>
      <c r="Z3" s="12" t="e">
        <f>COUNTIFS(#REF!,MONTH(Dashboard!Z2),#REF!,YEAR(Dashboard!Z2))</f>
        <v>#REF!</v>
      </c>
      <c r="AA3" s="12" t="e">
        <f>COUNTIFS(#REF!,MONTH(Dashboard!AA2),#REF!,YEAR(Dashboard!AA2))</f>
        <v>#REF!</v>
      </c>
      <c r="AB3" s="11" t="e">
        <f>COUNTIFS(#REF!,MONTH(Dashboard!AB2),#REF!,YEAR(Dashboard!AB2))</f>
        <v>#REF!</v>
      </c>
    </row>
    <row r="4" spans="2:30" x14ac:dyDescent="0.25">
      <c r="B4" t="s">
        <v>3</v>
      </c>
      <c r="C4" s="66" t="e">
        <f>COUNTIFS(#REF!,MONTH(Dashboard!C2),#REF!,YEAR(Dashboard!C2),#REF!,"Closed")</f>
        <v>#REF!</v>
      </c>
      <c r="D4" s="67" t="e">
        <f>COUNTIFS(#REF!,MONTH(Dashboard!D2),#REF!,YEAR(Dashboard!D2),#REF!,"Closed")</f>
        <v>#REF!</v>
      </c>
      <c r="E4" s="66" t="e">
        <f>COUNTIFS(#REF!,MONTH(Dashboard!E2),#REF!,YEAR(Dashboard!E2),#REF!,"Closed")</f>
        <v>#REF!</v>
      </c>
      <c r="F4" s="68" t="e">
        <f>COUNTIFS(#REF!,MONTH(Dashboard!F2),#REF!,YEAR(Dashboard!F2),#REF!,"Closed")</f>
        <v>#REF!</v>
      </c>
      <c r="G4" s="68" t="e">
        <f>COUNTIFS(#REF!,MONTH(Dashboard!G2),#REF!,YEAR(Dashboard!G2),#REF!,"Closed")</f>
        <v>#REF!</v>
      </c>
      <c r="H4" s="68" t="e">
        <f>COUNTIFS(#REF!,MONTH(Dashboard!H2),#REF!,YEAR(Dashboard!H2),#REF!,"Closed")</f>
        <v>#REF!</v>
      </c>
      <c r="I4" s="68" t="e">
        <f>COUNTIFS(#REF!,MONTH(Dashboard!I2),#REF!,YEAR(Dashboard!I2),#REF!,"Closed")</f>
        <v>#REF!</v>
      </c>
      <c r="J4" s="68" t="e">
        <f>COUNTIFS(#REF!,MONTH(Dashboard!J2),#REF!,YEAR(Dashboard!J2),#REF!,"Closed")</f>
        <v>#REF!</v>
      </c>
      <c r="K4" s="68" t="e">
        <f>COUNTIFS(#REF!,MONTH(Dashboard!K2),#REF!,YEAR(Dashboard!K2),#REF!,"Closed")</f>
        <v>#REF!</v>
      </c>
      <c r="L4" s="68" t="e">
        <f>COUNTIFS(#REF!,MONTH(Dashboard!L2),#REF!,YEAR(Dashboard!L2),#REF!,"Closed")</f>
        <v>#REF!</v>
      </c>
      <c r="M4" s="68" t="e">
        <f>COUNTIFS(#REF!,MONTH(Dashboard!M2),#REF!,YEAR(Dashboard!M2),#REF!,"Closed")</f>
        <v>#REF!</v>
      </c>
      <c r="N4" s="68" t="e">
        <f>COUNTIFS(#REF!,MONTH(Dashboard!N2),#REF!,YEAR(Dashboard!N2),#REF!,"Closed")</f>
        <v>#REF!</v>
      </c>
      <c r="O4" s="68" t="e">
        <f>COUNTIFS(#REF!,MONTH(Dashboard!O2),#REF!,YEAR(Dashboard!O2),#REF!,"Closed")</f>
        <v>#REF!</v>
      </c>
      <c r="P4" s="67" t="e">
        <f>COUNTIFS(#REF!,MONTH(Dashboard!P2),#REF!,YEAR(Dashboard!P2),#REF!,"Closed")</f>
        <v>#REF!</v>
      </c>
      <c r="Q4" s="66" t="e">
        <f>COUNTIFS(#REF!,MONTH(Dashboard!Q2),#REF!,YEAR(Dashboard!Q2),#REF!,"Closed")</f>
        <v>#REF!</v>
      </c>
      <c r="R4" s="68" t="e">
        <f>COUNTIFS(#REF!,MONTH(Dashboard!R2),#REF!,YEAR(Dashboard!R2),#REF!,"Closed")</f>
        <v>#REF!</v>
      </c>
      <c r="S4" s="68" t="e">
        <f>COUNTIFS(#REF!,MONTH(Dashboard!S2),#REF!,YEAR(Dashboard!S2),#REF!,"Closed")</f>
        <v>#REF!</v>
      </c>
      <c r="T4" s="68" t="e">
        <f>COUNTIFS(#REF!,MONTH(Dashboard!T2),#REF!,YEAR(Dashboard!T2),#REF!,"Closed")</f>
        <v>#REF!</v>
      </c>
      <c r="U4" s="68" t="e">
        <f>COUNTIFS(#REF!,MONTH(Dashboard!U2),#REF!,YEAR(Dashboard!U2),#REF!,"Closed")</f>
        <v>#REF!</v>
      </c>
      <c r="V4" s="68" t="e">
        <f>COUNTIFS(#REF!,MONTH(Dashboard!V2),#REF!,YEAR(Dashboard!V2),#REF!,"Closed")</f>
        <v>#REF!</v>
      </c>
      <c r="W4" s="68" t="e">
        <f>COUNTIFS(#REF!,MONTH(Dashboard!W2),#REF!,YEAR(Dashboard!W2),#REF!,"Closed")</f>
        <v>#REF!</v>
      </c>
      <c r="X4" s="68" t="e">
        <f>COUNTIFS(#REF!,MONTH(Dashboard!X2),#REF!,YEAR(Dashboard!X2),#REF!,"Closed")</f>
        <v>#REF!</v>
      </c>
      <c r="Y4" s="68" t="e">
        <f>COUNTIFS(#REF!,MONTH(Dashboard!Y2),#REF!,YEAR(Dashboard!Y2),#REF!,"Closed")</f>
        <v>#REF!</v>
      </c>
      <c r="Z4" s="68" t="e">
        <f>COUNTIFS(#REF!,MONTH(Dashboard!Z2),#REF!,YEAR(Dashboard!Z2),#REF!,"Closed")</f>
        <v>#REF!</v>
      </c>
      <c r="AA4" s="68" t="e">
        <f>COUNTIFS(#REF!,MONTH(Dashboard!AA2),#REF!,YEAR(Dashboard!AA2),#REF!,"Closed")</f>
        <v>#REF!</v>
      </c>
      <c r="AB4" s="67" t="e">
        <f>COUNTIFS(#REF!,MONTH(Dashboard!AB2),#REF!,YEAR(Dashboard!AB2),#REF!,"Closed")</f>
        <v>#REF!</v>
      </c>
    </row>
    <row r="5" spans="2:30" x14ac:dyDescent="0.25">
      <c r="B5" t="s">
        <v>10</v>
      </c>
      <c r="C5" s="61" t="e">
        <f ca="1">IF(C2&lt;=TODAY(),C3-C4," ")</f>
        <v>#REF!</v>
      </c>
      <c r="D5" s="62" t="e">
        <f t="shared" ref="D5:AB5" ca="1" si="0">IF(D2&lt;=TODAY(),D3+C5-D4," ")</f>
        <v>#REF!</v>
      </c>
      <c r="E5" s="61" t="e">
        <f t="shared" ca="1" si="0"/>
        <v>#REF!</v>
      </c>
      <c r="F5" s="60" t="e">
        <f t="shared" ca="1" si="0"/>
        <v>#REF!</v>
      </c>
      <c r="G5" s="60" t="e">
        <f t="shared" ca="1" si="0"/>
        <v>#REF!</v>
      </c>
      <c r="H5" s="60" t="e">
        <f t="shared" ca="1" si="0"/>
        <v>#REF!</v>
      </c>
      <c r="I5" s="60" t="e">
        <f t="shared" ca="1" si="0"/>
        <v>#REF!</v>
      </c>
      <c r="J5" s="60" t="str">
        <f ca="1">IF(J2&lt;=TODAY(),J3+I5-J4," ")</f>
        <v xml:space="preserve"> </v>
      </c>
      <c r="K5" s="60" t="str">
        <f t="shared" ca="1" si="0"/>
        <v xml:space="preserve"> </v>
      </c>
      <c r="L5" s="60" t="str">
        <f t="shared" ca="1" si="0"/>
        <v xml:space="preserve"> </v>
      </c>
      <c r="M5" s="60" t="str">
        <f t="shared" ca="1" si="0"/>
        <v xml:space="preserve"> </v>
      </c>
      <c r="N5" s="60" t="str">
        <f t="shared" ca="1" si="0"/>
        <v xml:space="preserve"> </v>
      </c>
      <c r="O5" s="60" t="str">
        <f ca="1">IF(O2&lt;=TODAY(),O3+N5-O4," ")</f>
        <v xml:space="preserve"> </v>
      </c>
      <c r="P5" s="62" t="str">
        <f t="shared" ca="1" si="0"/>
        <v xml:space="preserve"> </v>
      </c>
      <c r="Q5" s="61" t="str">
        <f t="shared" ca="1" si="0"/>
        <v xml:space="preserve"> </v>
      </c>
      <c r="R5" s="60" t="str">
        <f t="shared" ca="1" si="0"/>
        <v xml:space="preserve"> </v>
      </c>
      <c r="S5" s="60" t="str">
        <f t="shared" ca="1" si="0"/>
        <v xml:space="preserve"> </v>
      </c>
      <c r="T5" s="60" t="str">
        <f t="shared" ca="1" si="0"/>
        <v xml:space="preserve"> </v>
      </c>
      <c r="U5" s="60" t="str">
        <f t="shared" ca="1" si="0"/>
        <v xml:space="preserve"> </v>
      </c>
      <c r="V5" s="60" t="str">
        <f t="shared" ca="1" si="0"/>
        <v xml:space="preserve"> </v>
      </c>
      <c r="W5" s="60" t="str">
        <f t="shared" ca="1" si="0"/>
        <v xml:space="preserve"> </v>
      </c>
      <c r="X5" s="60" t="str">
        <f t="shared" ca="1" si="0"/>
        <v xml:space="preserve"> </v>
      </c>
      <c r="Y5" s="60" t="str">
        <f t="shared" ca="1" si="0"/>
        <v xml:space="preserve"> </v>
      </c>
      <c r="Z5" s="60" t="str">
        <f t="shared" ca="1" si="0"/>
        <v xml:space="preserve"> </v>
      </c>
      <c r="AA5" s="60" t="str">
        <f t="shared" ca="1" si="0"/>
        <v xml:space="preserve"> </v>
      </c>
      <c r="AB5" s="62" t="str">
        <f t="shared" ca="1" si="0"/>
        <v xml:space="preserve"> </v>
      </c>
    </row>
    <row r="6" spans="2:30" ht="15.75" thickBot="1" x14ac:dyDescent="0.3">
      <c r="B6" t="s">
        <v>22</v>
      </c>
      <c r="C6" s="63" t="e">
        <f t="shared" ref="C6:I6" ca="1" si="1">IF(C5=" "," ",C3-C4)</f>
        <v>#REF!</v>
      </c>
      <c r="D6" s="64" t="e">
        <f t="shared" ca="1" si="1"/>
        <v>#REF!</v>
      </c>
      <c r="E6" s="63" t="e">
        <f t="shared" ca="1" si="1"/>
        <v>#REF!</v>
      </c>
      <c r="F6" s="65" t="e">
        <f t="shared" ca="1" si="1"/>
        <v>#REF!</v>
      </c>
      <c r="G6" s="65" t="e">
        <f t="shared" ca="1" si="1"/>
        <v>#REF!</v>
      </c>
      <c r="H6" s="65" t="e">
        <f t="shared" ca="1" si="1"/>
        <v>#REF!</v>
      </c>
      <c r="I6" s="65" t="e">
        <f t="shared" ca="1" si="1"/>
        <v>#REF!</v>
      </c>
      <c r="J6" s="65" t="str">
        <f ca="1">IF(J5=" "," ",J3-J4)</f>
        <v xml:space="preserve"> </v>
      </c>
      <c r="K6" s="65" t="str">
        <f t="shared" ref="K6:AB6" ca="1" si="2">IF(K5=" "," ",K3-K4)</f>
        <v xml:space="preserve"> </v>
      </c>
      <c r="L6" s="65" t="str">
        <f t="shared" ca="1" si="2"/>
        <v xml:space="preserve"> </v>
      </c>
      <c r="M6" s="65" t="str">
        <f t="shared" ca="1" si="2"/>
        <v xml:space="preserve"> </v>
      </c>
      <c r="N6" s="65" t="str">
        <f t="shared" ca="1" si="2"/>
        <v xml:space="preserve"> </v>
      </c>
      <c r="O6" s="65" t="str">
        <f t="shared" ca="1" si="2"/>
        <v xml:space="preserve"> </v>
      </c>
      <c r="P6" s="64" t="str">
        <f t="shared" ca="1" si="2"/>
        <v xml:space="preserve"> </v>
      </c>
      <c r="Q6" s="63" t="str">
        <f t="shared" ca="1" si="2"/>
        <v xml:space="preserve"> </v>
      </c>
      <c r="R6" s="65" t="str">
        <f t="shared" ca="1" si="2"/>
        <v xml:space="preserve"> </v>
      </c>
      <c r="S6" s="65" t="str">
        <f t="shared" ca="1" si="2"/>
        <v xml:space="preserve"> </v>
      </c>
      <c r="T6" s="65" t="str">
        <f t="shared" ca="1" si="2"/>
        <v xml:space="preserve"> </v>
      </c>
      <c r="U6" s="65" t="str">
        <f t="shared" ca="1" si="2"/>
        <v xml:space="preserve"> </v>
      </c>
      <c r="V6" s="65" t="str">
        <f t="shared" ca="1" si="2"/>
        <v xml:space="preserve"> </v>
      </c>
      <c r="W6" s="65" t="str">
        <f t="shared" ca="1" si="2"/>
        <v xml:space="preserve"> </v>
      </c>
      <c r="X6" s="65" t="str">
        <f t="shared" ca="1" si="2"/>
        <v xml:space="preserve"> </v>
      </c>
      <c r="Y6" s="65" t="str">
        <f t="shared" ca="1" si="2"/>
        <v xml:space="preserve"> </v>
      </c>
      <c r="Z6" s="65" t="str">
        <f t="shared" ca="1" si="2"/>
        <v xml:space="preserve"> </v>
      </c>
      <c r="AA6" s="65" t="str">
        <f t="shared" ca="1" si="2"/>
        <v xml:space="preserve"> </v>
      </c>
      <c r="AB6" s="64" t="str">
        <f t="shared" ca="1" si="2"/>
        <v xml:space="preserve"> </v>
      </c>
    </row>
    <row r="7" spans="2:30" ht="15.75" thickBot="1" x14ac:dyDescent="0.3"/>
    <row r="8" spans="2:30" ht="15.75" thickBot="1" x14ac:dyDescent="0.3">
      <c r="Y8" s="95" t="s">
        <v>11</v>
      </c>
      <c r="Z8" s="96"/>
      <c r="AA8" s="97"/>
    </row>
    <row r="9" spans="2:30" x14ac:dyDescent="0.25">
      <c r="Y9" s="56" t="s">
        <v>10</v>
      </c>
      <c r="Z9" s="51" t="str">
        <f ca="1">INDEX(Dashboard!5:5,COUNT(Dashboard!5:5)+2)</f>
        <v>Open</v>
      </c>
      <c r="AA9" s="52" t="e">
        <f ca="1">AND(Z9=F40,Z9=V45,Z9=SUM(N40:N45))</f>
        <v>#REF!</v>
      </c>
    </row>
    <row r="10" spans="2:30" x14ac:dyDescent="0.25">
      <c r="Y10" s="57" t="s">
        <v>3</v>
      </c>
      <c r="Z10" s="53" t="e">
        <f>SUM(C4:AB4)</f>
        <v>#REF!</v>
      </c>
      <c r="AA10" s="42" t="e">
        <f>AND(Z10=F43, Z10=SUM(L40:L45),Z10=T45)</f>
        <v>#REF!</v>
      </c>
    </row>
    <row r="11" spans="2:30" ht="15.75" thickBot="1" x14ac:dyDescent="0.3">
      <c r="Y11" s="59" t="s">
        <v>13</v>
      </c>
      <c r="Z11" s="5" t="e">
        <f ca="1">Z9+Z10</f>
        <v>#VALUE!</v>
      </c>
      <c r="AA11" s="58" t="e">
        <f ca="1">AND(Z11=F44, Z11=SUM(J40:J45),Z11=(SUM(L40:L45)+SUM(N40:N45)),Z11=R45,Z11=T45+V45)</f>
        <v>#VALUE!</v>
      </c>
    </row>
    <row r="12" spans="2:30" ht="15.75" thickBot="1" x14ac:dyDescent="0.3">
      <c r="AA12" s="2" t="e">
        <f ca="1">AND(AA9,AA10,AA11)</f>
        <v>#REF!</v>
      </c>
    </row>
    <row r="14" spans="2:30" ht="15.75" thickBot="1" x14ac:dyDescent="0.3">
      <c r="Y14" s="73"/>
      <c r="Z14" s="73"/>
      <c r="AA14" s="73"/>
      <c r="AB14" s="73"/>
    </row>
    <row r="15" spans="2:30" ht="15.75" thickBot="1" x14ac:dyDescent="0.3">
      <c r="Y15" s="13"/>
      <c r="Z15" s="78" t="s">
        <v>24</v>
      </c>
      <c r="AA15" s="79" t="s">
        <v>25</v>
      </c>
      <c r="AB15" s="80" t="s">
        <v>23</v>
      </c>
      <c r="AD15" s="85"/>
    </row>
    <row r="16" spans="2:30" x14ac:dyDescent="0.25">
      <c r="Y16" s="3" t="s">
        <v>21</v>
      </c>
      <c r="Z16" s="74" t="e">
        <f>MIN(C3:I3)</f>
        <v>#REF!</v>
      </c>
      <c r="AA16" s="69" t="e">
        <f>MAX(C3:AB3)</f>
        <v>#REF!</v>
      </c>
      <c r="AB16" s="81" t="e">
        <f ca="1">SUM(C3:AB3)/COUNT(5:5)</f>
        <v>#REF!</v>
      </c>
    </row>
    <row r="17" spans="25:28" x14ac:dyDescent="0.25">
      <c r="Y17" s="4" t="s">
        <v>3</v>
      </c>
      <c r="Z17" s="75" t="e">
        <f>MIN(C4:I4)</f>
        <v>#REF!</v>
      </c>
      <c r="AA17" s="53" t="e">
        <f>MAX(C4:AB4)</f>
        <v>#REF!</v>
      </c>
      <c r="AB17" s="82" t="e">
        <f ca="1">SUM(C4:AB4)/COUNT(5:5)</f>
        <v>#REF!</v>
      </c>
    </row>
    <row r="18" spans="25:28" x14ac:dyDescent="0.25">
      <c r="Y18" s="4" t="s">
        <v>10</v>
      </c>
      <c r="Z18" s="76" t="e">
        <f ca="1">MIN(C5:AB5)</f>
        <v>#REF!</v>
      </c>
      <c r="AA18" s="70" t="e">
        <f ca="1">MAX(C5:AB5)</f>
        <v>#REF!</v>
      </c>
      <c r="AB18" s="83" t="e">
        <f ca="1">SUM(C5:AB5)/COUNT(5:5)</f>
        <v>#REF!</v>
      </c>
    </row>
    <row r="19" spans="25:28" ht="15.75" thickBot="1" x14ac:dyDescent="0.3">
      <c r="Y19" s="6" t="s">
        <v>22</v>
      </c>
      <c r="Z19" s="77" t="e">
        <f ca="1">MIN(C6:AB6)</f>
        <v>#REF!</v>
      </c>
      <c r="AA19" s="71" t="e">
        <f ca="1">MAX(C6:AB6)</f>
        <v>#REF!</v>
      </c>
      <c r="AB19" s="84" t="e">
        <f ca="1">SUM(C6:AB6)/COUNT(5:5)</f>
        <v>#REF!</v>
      </c>
    </row>
    <row r="23" spans="25:28" x14ac:dyDescent="0.25">
      <c r="Y23" s="72"/>
      <c r="Z23" s="72"/>
      <c r="AA23" s="72"/>
      <c r="AB23" s="72"/>
    </row>
    <row r="24" spans="25:28" x14ac:dyDescent="0.25">
      <c r="AB24" s="72"/>
    </row>
    <row r="25" spans="25:28" x14ac:dyDescent="0.25">
      <c r="AB25" s="72"/>
    </row>
    <row r="27" spans="25:28" x14ac:dyDescent="0.25">
      <c r="AB27" s="72"/>
    </row>
    <row r="28" spans="25:28" x14ac:dyDescent="0.25">
      <c r="AB28" s="72"/>
    </row>
    <row r="29" spans="25:28" x14ac:dyDescent="0.25">
      <c r="AB29" s="72"/>
    </row>
    <row r="30" spans="25:28" x14ac:dyDescent="0.25">
      <c r="AB30" s="72"/>
    </row>
    <row r="38" spans="2:23" ht="15.75" thickBot="1" x14ac:dyDescent="0.3"/>
    <row r="39" spans="2:23" ht="15.75" thickBot="1" x14ac:dyDescent="0.3">
      <c r="B39" s="95" t="s">
        <v>12</v>
      </c>
      <c r="C39" s="96"/>
      <c r="D39" s="96"/>
      <c r="E39" s="96"/>
      <c r="F39" s="97"/>
      <c r="H39" s="95" t="s">
        <v>9</v>
      </c>
      <c r="I39" s="97"/>
      <c r="J39" s="98" t="s">
        <v>13</v>
      </c>
      <c r="K39" s="99"/>
      <c r="L39" s="100" t="s">
        <v>3</v>
      </c>
      <c r="M39" s="101"/>
      <c r="N39" s="102" t="s">
        <v>10</v>
      </c>
      <c r="O39" s="103"/>
      <c r="Q39" s="2" t="s">
        <v>20</v>
      </c>
      <c r="R39" s="98" t="s">
        <v>13</v>
      </c>
      <c r="S39" s="99"/>
      <c r="T39" s="100" t="s">
        <v>3</v>
      </c>
      <c r="U39" s="101"/>
      <c r="V39" s="102" t="s">
        <v>10</v>
      </c>
      <c r="W39" s="103"/>
    </row>
    <row r="40" spans="2:23" x14ac:dyDescent="0.25">
      <c r="B40" s="15" t="s">
        <v>10</v>
      </c>
      <c r="C40" s="111" t="s">
        <v>1</v>
      </c>
      <c r="D40" s="112"/>
      <c r="E40" s="24" t="e">
        <f>COUNTIF(#REF!,C40)</f>
        <v>#REF!</v>
      </c>
      <c r="F40" s="113" t="e">
        <f>SUM(E40:E42)</f>
        <v>#REF!</v>
      </c>
      <c r="H40" s="111" t="s">
        <v>15</v>
      </c>
      <c r="I40" s="116"/>
      <c r="J40" s="18" t="e">
        <f>COUNTIF(#REF!,"A")</f>
        <v>#REF!</v>
      </c>
      <c r="K40" s="33" t="e">
        <f t="shared" ref="K40:K45" si="3">J40/$R$45</f>
        <v>#REF!</v>
      </c>
      <c r="L40" s="44" t="e">
        <f>COUNTIFS(#REF!,"A",#REF!,"C")</f>
        <v>#REF!</v>
      </c>
      <c r="M40" s="47" t="e">
        <f t="shared" ref="M40:M45" si="4">L40/$T$45</f>
        <v>#REF!</v>
      </c>
      <c r="N40" s="21" t="e">
        <f>COUNTIFS(#REF!,"A",#REF!,"O")</f>
        <v>#REF!</v>
      </c>
      <c r="O40" s="39" t="e">
        <f t="shared" ref="O40:O45" si="5">N40/$V$45</f>
        <v>#REF!</v>
      </c>
      <c r="Q40" s="3" t="s">
        <v>4</v>
      </c>
      <c r="R40" s="18" t="e">
        <f>COUNTIF(#REF!,Q40)</f>
        <v>#REF!</v>
      </c>
      <c r="S40" s="30" t="e">
        <f>R40/$R$45</f>
        <v>#REF!</v>
      </c>
      <c r="T40" s="44" t="e">
        <f>COUNTIFS(#REF!,Q40,#REF!,"C")</f>
        <v>#REF!</v>
      </c>
      <c r="U40" s="47" t="e">
        <f>T40/$T$45</f>
        <v>#REF!</v>
      </c>
      <c r="V40" s="54" t="e">
        <f>COUNTIFS(#REF!,Q40,#REF!,"O")</f>
        <v>#REF!</v>
      </c>
      <c r="W40" s="36" t="e">
        <f>V40/$V$45</f>
        <v>#REF!</v>
      </c>
    </row>
    <row r="41" spans="2:23" x14ac:dyDescent="0.25">
      <c r="B41" s="16"/>
      <c r="C41" s="107" t="s">
        <v>2</v>
      </c>
      <c r="D41" s="117"/>
      <c r="E41" s="25" t="e">
        <f>COUNTIF(#REF!,C41)</f>
        <v>#REF!</v>
      </c>
      <c r="F41" s="114"/>
      <c r="H41" s="107" t="s">
        <v>16</v>
      </c>
      <c r="I41" s="108"/>
      <c r="J41" s="19" t="e">
        <f>COUNTIF(#REF!,"B")</f>
        <v>#REF!</v>
      </c>
      <c r="K41" s="34" t="e">
        <f t="shared" si="3"/>
        <v>#REF!</v>
      </c>
      <c r="L41" s="45" t="e">
        <f>COUNTIFS(#REF!,"B",#REF!,"C")</f>
        <v>#REF!</v>
      </c>
      <c r="M41" s="48" t="e">
        <f t="shared" si="4"/>
        <v>#REF!</v>
      </c>
      <c r="N41" s="22" t="e">
        <f>COUNTIFS(#REF!,"B",#REF!,"O")</f>
        <v>#REF!</v>
      </c>
      <c r="O41" s="40" t="e">
        <f t="shared" si="5"/>
        <v>#REF!</v>
      </c>
      <c r="Q41" s="4" t="s">
        <v>7</v>
      </c>
      <c r="R41" s="19" t="e">
        <f>COUNTIF(#REF!,Q41)</f>
        <v>#REF!</v>
      </c>
      <c r="S41" s="31" t="e">
        <f>R41/$R$45</f>
        <v>#REF!</v>
      </c>
      <c r="T41" s="44" t="e">
        <f>COUNTIFS(#REF!,Q41,#REF!,"C")</f>
        <v>#REF!</v>
      </c>
      <c r="U41" s="48" t="e">
        <f>T41/$T$45</f>
        <v>#REF!</v>
      </c>
      <c r="V41" s="22" t="e">
        <f>COUNTIFS(#REF!,Q41,#REF!,"O")</f>
        <v>#REF!</v>
      </c>
      <c r="W41" s="37" t="e">
        <f>V41/$V$45</f>
        <v>#REF!</v>
      </c>
    </row>
    <row r="42" spans="2:23" ht="15.75" thickBot="1" x14ac:dyDescent="0.3">
      <c r="B42" s="17"/>
      <c r="C42" s="109" t="s">
        <v>0</v>
      </c>
      <c r="D42" s="118"/>
      <c r="E42" s="26" t="e">
        <f>COUNTIF(#REF!,C42)</f>
        <v>#REF!</v>
      </c>
      <c r="F42" s="115"/>
      <c r="H42" s="107" t="s">
        <v>17</v>
      </c>
      <c r="I42" s="108"/>
      <c r="J42" s="19" t="e">
        <f>COUNTIF(#REF!,"C")</f>
        <v>#REF!</v>
      </c>
      <c r="K42" s="34" t="e">
        <f t="shared" si="3"/>
        <v>#REF!</v>
      </c>
      <c r="L42" s="45" t="e">
        <f>COUNTIFS(#REF!,"C",#REF!,"C")</f>
        <v>#REF!</v>
      </c>
      <c r="M42" s="48" t="e">
        <f t="shared" si="4"/>
        <v>#REF!</v>
      </c>
      <c r="N42" s="22" t="e">
        <f>COUNTIFS(#REF!,"C",#REF!,"O")</f>
        <v>#REF!</v>
      </c>
      <c r="O42" s="40" t="e">
        <f t="shared" si="5"/>
        <v>#REF!</v>
      </c>
      <c r="Q42" s="4" t="s">
        <v>5</v>
      </c>
      <c r="R42" s="19" t="e">
        <f>COUNTIF(#REF!,Q42)</f>
        <v>#REF!</v>
      </c>
      <c r="S42" s="31" t="e">
        <f>R42/$R$45</f>
        <v>#REF!</v>
      </c>
      <c r="T42" s="44" t="e">
        <f>COUNTIFS(#REF!,Q42,#REF!,"C")</f>
        <v>#REF!</v>
      </c>
      <c r="U42" s="48" t="e">
        <f>T42/$T$45</f>
        <v>#REF!</v>
      </c>
      <c r="V42" s="22" t="e">
        <f>COUNTIFS(#REF!,Q42,#REF!,"O")</f>
        <v>#REF!</v>
      </c>
      <c r="W42" s="37" t="e">
        <f>V42/$V$45</f>
        <v>#REF!</v>
      </c>
    </row>
    <row r="43" spans="2:23" ht="15.75" thickBot="1" x14ac:dyDescent="0.3">
      <c r="B43" s="13" t="s">
        <v>3</v>
      </c>
      <c r="C43" s="104" t="s">
        <v>3</v>
      </c>
      <c r="D43" s="105"/>
      <c r="E43" s="106"/>
      <c r="F43" s="50" t="e">
        <f>COUNTIF(#REF!,C43)</f>
        <v>#REF!</v>
      </c>
      <c r="H43" s="107" t="s">
        <v>18</v>
      </c>
      <c r="I43" s="108"/>
      <c r="J43" s="19" t="e">
        <f>COUNTIF(#REF!,"D")</f>
        <v>#REF!</v>
      </c>
      <c r="K43" s="34" t="e">
        <f t="shared" si="3"/>
        <v>#REF!</v>
      </c>
      <c r="L43" s="45" t="e">
        <f>COUNTIFS(#REF!,"D",#REF!,"C")</f>
        <v>#REF!</v>
      </c>
      <c r="M43" s="48" t="e">
        <f t="shared" si="4"/>
        <v>#REF!</v>
      </c>
      <c r="N43" s="22" t="e">
        <f>COUNTIFS(#REF!,"D",#REF!,"O")</f>
        <v>#REF!</v>
      </c>
      <c r="O43" s="40" t="e">
        <f t="shared" si="5"/>
        <v>#REF!</v>
      </c>
      <c r="Q43" s="4" t="s">
        <v>6</v>
      </c>
      <c r="R43" s="19" t="e">
        <f>COUNTIF(#REF!,Q43)</f>
        <v>#REF!</v>
      </c>
      <c r="S43" s="31" t="e">
        <f>R43/$R$45</f>
        <v>#REF!</v>
      </c>
      <c r="T43" s="44" t="e">
        <f>COUNTIFS(#REF!,Q43,#REF!,"C")</f>
        <v>#REF!</v>
      </c>
      <c r="U43" s="48" t="e">
        <f>T43/$T$45</f>
        <v>#REF!</v>
      </c>
      <c r="V43" s="22" t="e">
        <f>COUNTIFS(#REF!,Q43,#REF!,"O")</f>
        <v>#REF!</v>
      </c>
      <c r="W43" s="37" t="e">
        <f>V43/$V$45</f>
        <v>#REF!</v>
      </c>
    </row>
    <row r="44" spans="2:23" ht="15.75" thickBot="1" x14ac:dyDescent="0.3">
      <c r="B44" s="14" t="s">
        <v>13</v>
      </c>
      <c r="C44" s="55"/>
      <c r="D44" s="28"/>
      <c r="E44" s="29"/>
      <c r="F44" s="27" t="e">
        <f>SUM(F40:F43)</f>
        <v>#REF!</v>
      </c>
      <c r="H44" s="107" t="s">
        <v>19</v>
      </c>
      <c r="I44" s="108"/>
      <c r="J44" s="19" t="e">
        <f>COUNTIF(#REF!,"E")</f>
        <v>#REF!</v>
      </c>
      <c r="K44" s="34" t="e">
        <f t="shared" si="3"/>
        <v>#REF!</v>
      </c>
      <c r="L44" s="45" t="e">
        <f>COUNTIFS(#REF!,"E",#REF!,"C")</f>
        <v>#REF!</v>
      </c>
      <c r="M44" s="48" t="e">
        <f t="shared" si="4"/>
        <v>#REF!</v>
      </c>
      <c r="N44" s="22" t="e">
        <f>COUNTIFS(#REF!,"E",#REF!,"O")</f>
        <v>#REF!</v>
      </c>
      <c r="O44" s="40" t="e">
        <f t="shared" si="5"/>
        <v>#REF!</v>
      </c>
      <c r="Q44" s="4" t="s">
        <v>8</v>
      </c>
      <c r="R44" s="19" t="e">
        <f>COUNTIF(#REF!,Q44)</f>
        <v>#REF!</v>
      </c>
      <c r="S44" s="31" t="e">
        <f>R44/$R$45</f>
        <v>#REF!</v>
      </c>
      <c r="T44" s="44" t="e">
        <f>COUNTIFS(#REF!,Q44,#REF!,"C")</f>
        <v>#REF!</v>
      </c>
      <c r="U44" s="48" t="e">
        <f>T44/$T$45</f>
        <v>#REF!</v>
      </c>
      <c r="V44" s="22" t="e">
        <f>COUNTIFS(#REF!,Q44,#REF!,"O")</f>
        <v>#REF!</v>
      </c>
      <c r="W44" s="37" t="e">
        <f>V44/$V$45</f>
        <v>#REF!</v>
      </c>
    </row>
    <row r="45" spans="2:23" ht="15.75" thickBot="1" x14ac:dyDescent="0.3">
      <c r="H45" s="109" t="s">
        <v>14</v>
      </c>
      <c r="I45" s="110"/>
      <c r="J45" s="20" t="e">
        <f>COUNTIF(#REF!,"F")</f>
        <v>#REF!</v>
      </c>
      <c r="K45" s="35" t="e">
        <f t="shared" si="3"/>
        <v>#REF!</v>
      </c>
      <c r="L45" s="43" t="e">
        <f>COUNTIFS(#REF!,"F",#REF!,"C")</f>
        <v>#REF!</v>
      </c>
      <c r="M45" s="49" t="e">
        <f t="shared" si="4"/>
        <v>#REF!</v>
      </c>
      <c r="N45" s="23" t="e">
        <f>COUNTIFS(#REF!,"F",#REF!,"O")</f>
        <v>#REF!</v>
      </c>
      <c r="O45" s="41" t="e">
        <f t="shared" si="5"/>
        <v>#REF!</v>
      </c>
      <c r="Q45" s="6"/>
      <c r="R45" s="20" t="e">
        <f>SUM(R40:R44)</f>
        <v>#REF!</v>
      </c>
      <c r="S45" s="32"/>
      <c r="T45" s="43" t="e">
        <f>SUM(T40:T44)</f>
        <v>#REF!</v>
      </c>
      <c r="U45" s="46"/>
      <c r="V45" s="23" t="e">
        <f>SUM(V40:V44)</f>
        <v>#REF!</v>
      </c>
      <c r="W45" s="38"/>
    </row>
  </sheetData>
  <mergeCells count="20">
    <mergeCell ref="C43:E43"/>
    <mergeCell ref="H43:I43"/>
    <mergeCell ref="H44:I44"/>
    <mergeCell ref="H45:I45"/>
    <mergeCell ref="C40:D40"/>
    <mergeCell ref="F40:F42"/>
    <mergeCell ref="H40:I40"/>
    <mergeCell ref="C41:D41"/>
    <mergeCell ref="H41:I41"/>
    <mergeCell ref="C42:D42"/>
    <mergeCell ref="H42:I42"/>
    <mergeCell ref="Y8:AA8"/>
    <mergeCell ref="B39:F39"/>
    <mergeCell ref="H39:I39"/>
    <mergeCell ref="J39:K39"/>
    <mergeCell ref="L39:M39"/>
    <mergeCell ref="N39:O39"/>
    <mergeCell ref="R39:S39"/>
    <mergeCell ref="T39:U39"/>
    <mergeCell ref="V39:W39"/>
  </mergeCells>
  <conditionalFormatting sqref="C3:Y3">
    <cfRule type="cellIs" dxfId="2" priority="4" operator="equal">
      <formula>0</formula>
    </cfRule>
  </conditionalFormatting>
  <conditionalFormatting sqref="C4:AB4">
    <cfRule type="cellIs" dxfId="1" priority="3" operator="equal">
      <formula>0</formula>
    </cfRule>
  </conditionalFormatting>
  <conditionalFormatting sqref="Z3:AB3">
    <cfRule type="cellIs" dxfId="0" priority="2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65" orientation="landscape" r:id="rId1"/>
  <headerFooter>
    <oddHeader>&amp;CChange Management - Dashboard</oddHeader>
    <oddFooter>&amp;L&amp;"-,Bold"European External Actions Services Confidential&amp;C&amp;D&amp;RPage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1"/>
  <sheetViews>
    <sheetView tabSelected="1" workbookViewId="0">
      <selection activeCell="C11" sqref="C11"/>
    </sheetView>
  </sheetViews>
  <sheetFormatPr defaultRowHeight="15" x14ac:dyDescent="0.25"/>
  <cols>
    <col min="1" max="1" width="1.140625" customWidth="1"/>
    <col min="3" max="3" width="8.42578125" bestFit="1" customWidth="1"/>
    <col min="4" max="16" width="8" customWidth="1"/>
  </cols>
  <sheetData>
    <row r="1" spans="2:16" ht="15.75" thickBot="1" x14ac:dyDescent="0.3"/>
    <row r="2" spans="2:16" x14ac:dyDescent="0.25">
      <c r="C2" s="7">
        <v>41214</v>
      </c>
      <c r="D2" s="8">
        <v>41244</v>
      </c>
      <c r="E2" s="7">
        <v>41275</v>
      </c>
      <c r="F2" s="9">
        <v>41306</v>
      </c>
      <c r="G2" s="9">
        <v>41334</v>
      </c>
      <c r="H2" s="9">
        <v>41365</v>
      </c>
      <c r="I2" s="9">
        <v>41395</v>
      </c>
      <c r="J2" s="9">
        <v>41426</v>
      </c>
      <c r="K2" s="9">
        <v>41456</v>
      </c>
      <c r="L2" s="9">
        <v>41487</v>
      </c>
      <c r="M2" s="9">
        <v>41518</v>
      </c>
      <c r="N2" s="9">
        <v>41548</v>
      </c>
      <c r="O2" s="9">
        <v>41579</v>
      </c>
      <c r="P2" s="8">
        <v>41609</v>
      </c>
    </row>
    <row r="3" spans="2:16" x14ac:dyDescent="0.25">
      <c r="B3" t="s">
        <v>21</v>
      </c>
      <c r="C3" s="86">
        <v>15</v>
      </c>
      <c r="D3" s="87">
        <v>10</v>
      </c>
      <c r="E3" s="86">
        <v>21</v>
      </c>
      <c r="F3" s="88">
        <v>19</v>
      </c>
      <c r="G3" s="88">
        <v>11</v>
      </c>
      <c r="H3" s="88">
        <v>18</v>
      </c>
      <c r="I3" s="88">
        <v>19</v>
      </c>
      <c r="J3" s="88">
        <v>0</v>
      </c>
      <c r="K3" s="88">
        <v>0</v>
      </c>
      <c r="L3" s="88">
        <v>0</v>
      </c>
      <c r="M3" s="88">
        <v>0</v>
      </c>
      <c r="N3" s="88">
        <v>0</v>
      </c>
      <c r="O3" s="88">
        <v>0</v>
      </c>
      <c r="P3" s="87">
        <v>0</v>
      </c>
    </row>
    <row r="4" spans="2:16" ht="15.75" thickBot="1" x14ac:dyDescent="0.3">
      <c r="B4" t="s">
        <v>3</v>
      </c>
      <c r="C4" s="90">
        <v>6</v>
      </c>
      <c r="D4" s="91">
        <v>8</v>
      </c>
      <c r="E4" s="90">
        <v>9</v>
      </c>
      <c r="F4" s="92">
        <v>19</v>
      </c>
      <c r="G4" s="92">
        <v>15</v>
      </c>
      <c r="H4" s="92">
        <v>12</v>
      </c>
      <c r="I4" s="92">
        <v>13</v>
      </c>
      <c r="J4" s="92">
        <v>0</v>
      </c>
      <c r="K4" s="92">
        <v>0</v>
      </c>
      <c r="L4" s="92">
        <v>0</v>
      </c>
      <c r="M4" s="92">
        <v>0</v>
      </c>
      <c r="N4" s="92">
        <v>0</v>
      </c>
      <c r="O4" s="92">
        <v>0</v>
      </c>
      <c r="P4" s="91">
        <v>0</v>
      </c>
    </row>
    <row r="6" spans="2:16" ht="15.75" thickBot="1" x14ac:dyDescent="0.3"/>
    <row r="7" spans="2:16" ht="15.75" thickBot="1" x14ac:dyDescent="0.3">
      <c r="C7" s="13"/>
      <c r="D7" s="78" t="s">
        <v>24</v>
      </c>
      <c r="E7" s="80" t="s">
        <v>25</v>
      </c>
    </row>
    <row r="8" spans="2:16" x14ac:dyDescent="0.25">
      <c r="C8" s="3" t="s">
        <v>21</v>
      </c>
      <c r="D8" s="74">
        <f>MIN(C3:P3)</f>
        <v>0</v>
      </c>
      <c r="E8" s="89">
        <f>MAX(C3:P3)</f>
        <v>21</v>
      </c>
    </row>
    <row r="9" spans="2:16" ht="15.75" thickBot="1" x14ac:dyDescent="0.3">
      <c r="C9" s="6" t="s">
        <v>3</v>
      </c>
      <c r="D9" s="93">
        <f>MIN(C4:P4)</f>
        <v>0</v>
      </c>
      <c r="E9" s="94">
        <f>MAX(C4:P4)</f>
        <v>19</v>
      </c>
    </row>
    <row r="11" spans="2:16" x14ac:dyDescent="0.25">
      <c r="C11">
        <f t="array" aca="1" ref="C11" ca="1">MIN(IF(OFFSET(C3,,,2,COUNT($2:$2))&lt;&gt;0,OFFSET(C3,,,2,COUNT($2:$2))))</f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Dashboard</vt:lpstr>
      <vt:lpstr>Sheet1</vt:lpstr>
      <vt:lpstr>Dashboard!Print_Area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DERWAEL Patrick (EEAS-EXT)</dc:creator>
  <cp:lastModifiedBy>Jos</cp:lastModifiedBy>
  <cp:lastPrinted>2013-05-27T14:07:11Z</cp:lastPrinted>
  <dcterms:created xsi:type="dcterms:W3CDTF">2012-12-03T08:36:54Z</dcterms:created>
  <dcterms:modified xsi:type="dcterms:W3CDTF">2013-05-29T11:05:45Z</dcterms:modified>
</cp:coreProperties>
</file>