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Patrice\Desktop\"/>
    </mc:Choice>
  </mc:AlternateContent>
  <bookViews>
    <workbookView xWindow="0" yWindow="0" windowWidth="15360" windowHeight="7755" tabRatio="844" firstSheet="2" activeTab="2"/>
  </bookViews>
  <sheets>
    <sheet name="TDB F+D" sheetId="5" r:id="rId1"/>
    <sheet name="Tableau de bord direkt HDL" sheetId="27" r:id="rId2"/>
    <sheet name="Niiiiice" sheetId="30" r:id="rId3"/>
    <sheet name="RL Ziele" sheetId="20" r:id="rId4"/>
  </sheets>
  <externalReferences>
    <externalReference r:id="rId5"/>
    <externalReference r:id="rId6"/>
  </externalReferences>
  <definedNames>
    <definedName name="_xlnm._FilterDatabase" localSheetId="0" hidden="1">'TDB F+D'!$Q$17:$Q$171</definedName>
    <definedName name="DC_ACCESSOIRES">#REF!</definedName>
    <definedName name="DC_PIECES">#REF!</definedName>
    <definedName name="DC_ROUES">#REF!</definedName>
    <definedName name="DC_TEILE">#REF!</definedName>
    <definedName name="DC_WKR">#REF!</definedName>
    <definedName name="DC_ZUBEHOER">#REF!</definedName>
    <definedName name="Zone_1">#REF!</definedName>
    <definedName name="Zone_2">#REF!</definedName>
    <definedName name="Zone_3">#REF!</definedName>
    <definedName name="_xlnm.Print_Area" localSheetId="1">'Tableau de bord direkt HDL'!$A$1:$K$33</definedName>
    <definedName name="_xlnm.Print_Area" localSheetId="0">'TDB F+D'!$A$1:$L$33</definedName>
    <definedName name="Zone19">Niiiiice!$63:$90</definedName>
    <definedName name="Zone32">Niiiiice!$93:$118</definedName>
    <definedName name="Zone40">Niiiiice!$121:$152</definedName>
  </definedNames>
  <calcPr calcId="152511"/>
</workbook>
</file>

<file path=xl/calcChain.xml><?xml version="1.0" encoding="utf-8"?>
<calcChain xmlns="http://schemas.openxmlformats.org/spreadsheetml/2006/main">
  <c r="D351" i="30" l="1"/>
  <c r="E350" i="30"/>
  <c r="D350" i="30"/>
  <c r="G350" i="30" s="1"/>
  <c r="E349" i="30"/>
  <c r="D349" i="30"/>
  <c r="G349" i="30" s="1"/>
  <c r="E348" i="30"/>
  <c r="D348" i="30"/>
  <c r="G348" i="30" s="1"/>
  <c r="E347" i="30"/>
  <c r="G347" i="30" s="1"/>
  <c r="D347" i="30"/>
  <c r="E346" i="30"/>
  <c r="G346" i="30" s="1"/>
  <c r="D346" i="30"/>
  <c r="G345" i="30"/>
  <c r="E345" i="30"/>
  <c r="D345" i="30"/>
  <c r="G344" i="30"/>
  <c r="E344" i="30"/>
  <c r="D344" i="30"/>
  <c r="G343" i="30"/>
  <c r="E343" i="30"/>
  <c r="D343" i="30"/>
  <c r="E342" i="30"/>
  <c r="D342" i="30"/>
  <c r="G342" i="30" s="1"/>
  <c r="E341" i="30"/>
  <c r="D341" i="30"/>
  <c r="G341" i="30" s="1"/>
  <c r="E340" i="30"/>
  <c r="D340" i="30"/>
  <c r="G340" i="30" s="1"/>
  <c r="E339" i="30"/>
  <c r="E351" i="30" s="1"/>
  <c r="D339" i="30"/>
  <c r="G335" i="30"/>
  <c r="F335" i="30"/>
  <c r="E335" i="30"/>
  <c r="D335" i="30"/>
  <c r="H335" i="30" s="1"/>
  <c r="F334" i="30"/>
  <c r="E334" i="30" s="1"/>
  <c r="D334" i="30"/>
  <c r="H334" i="30" s="1"/>
  <c r="F333" i="30"/>
  <c r="E333" i="30" s="1"/>
  <c r="D333" i="30"/>
  <c r="H333" i="30" s="1"/>
  <c r="F332" i="30"/>
  <c r="E332" i="30" s="1"/>
  <c r="D332" i="30"/>
  <c r="H332" i="30" s="1"/>
  <c r="F331" i="30"/>
  <c r="E331" i="30" s="1"/>
  <c r="D331" i="30"/>
  <c r="G331" i="30" s="1"/>
  <c r="H330" i="30"/>
  <c r="F330" i="30"/>
  <c r="E330" i="30"/>
  <c r="D330" i="30"/>
  <c r="G330" i="30" s="1"/>
  <c r="H329" i="30"/>
  <c r="F329" i="30"/>
  <c r="E329" i="30"/>
  <c r="D329" i="30"/>
  <c r="G329" i="30" s="1"/>
  <c r="H328" i="30"/>
  <c r="F328" i="30"/>
  <c r="E328" i="30"/>
  <c r="G328" i="30" s="1"/>
  <c r="D328" i="30"/>
  <c r="G327" i="30"/>
  <c r="F327" i="30"/>
  <c r="E327" i="30"/>
  <c r="D327" i="30"/>
  <c r="H327" i="30" s="1"/>
  <c r="F326" i="30"/>
  <c r="E326" i="30" s="1"/>
  <c r="D326" i="30"/>
  <c r="H326" i="30" s="1"/>
  <c r="F325" i="30"/>
  <c r="E325" i="30" s="1"/>
  <c r="D325" i="30"/>
  <c r="H325" i="30" s="1"/>
  <c r="F324" i="30"/>
  <c r="F336" i="30" s="1"/>
  <c r="D324" i="30"/>
  <c r="D336" i="30" s="1"/>
  <c r="H321" i="30"/>
  <c r="G321" i="30"/>
  <c r="E317" i="30"/>
  <c r="D317" i="30"/>
  <c r="G317" i="30" s="1"/>
  <c r="E316" i="30"/>
  <c r="G316" i="30" s="1"/>
  <c r="D316" i="30"/>
  <c r="E315" i="30"/>
  <c r="D315" i="30"/>
  <c r="G315" i="30" s="1"/>
  <c r="E314" i="30"/>
  <c r="D314" i="30"/>
  <c r="G314" i="30" s="1"/>
  <c r="G313" i="30"/>
  <c r="E313" i="30"/>
  <c r="D313" i="30"/>
  <c r="E312" i="30"/>
  <c r="D312" i="30"/>
  <c r="G312" i="30" s="1"/>
  <c r="E311" i="30"/>
  <c r="D311" i="30"/>
  <c r="G311" i="30" s="1"/>
  <c r="G310" i="30"/>
  <c r="E310" i="30"/>
  <c r="D310" i="30"/>
  <c r="E309" i="30"/>
  <c r="D309" i="30"/>
  <c r="G309" i="30" s="1"/>
  <c r="E308" i="30"/>
  <c r="G308" i="30" s="1"/>
  <c r="D308" i="30"/>
  <c r="E307" i="30"/>
  <c r="D307" i="30"/>
  <c r="G307" i="30" s="1"/>
  <c r="E306" i="30"/>
  <c r="E318" i="30" s="1"/>
  <c r="D306" i="30"/>
  <c r="D318" i="30" s="1"/>
  <c r="G318" i="30" s="1"/>
  <c r="F302" i="30"/>
  <c r="E302" i="30"/>
  <c r="G302" i="30" s="1"/>
  <c r="D302" i="30"/>
  <c r="H302" i="30" s="1"/>
  <c r="F301" i="30"/>
  <c r="E301" i="30" s="1"/>
  <c r="D301" i="30"/>
  <c r="H301" i="30" s="1"/>
  <c r="H300" i="30"/>
  <c r="F300" i="30"/>
  <c r="E300" i="30" s="1"/>
  <c r="G300" i="30" s="1"/>
  <c r="D300" i="30"/>
  <c r="F299" i="30"/>
  <c r="E299" i="30"/>
  <c r="D299" i="30"/>
  <c r="H299" i="30" s="1"/>
  <c r="H298" i="30"/>
  <c r="F298" i="30"/>
  <c r="E298" i="30" s="1"/>
  <c r="D298" i="30"/>
  <c r="G298" i="30" s="1"/>
  <c r="F297" i="30"/>
  <c r="E297" i="30" s="1"/>
  <c r="G297" i="30" s="1"/>
  <c r="D297" i="30"/>
  <c r="F296" i="30"/>
  <c r="E296" i="30"/>
  <c r="D296" i="30"/>
  <c r="H296" i="30" s="1"/>
  <c r="H295" i="30"/>
  <c r="F295" i="30"/>
  <c r="E295" i="30" s="1"/>
  <c r="G295" i="30" s="1"/>
  <c r="D295" i="30"/>
  <c r="F294" i="30"/>
  <c r="E294" i="30"/>
  <c r="G294" i="30" s="1"/>
  <c r="D294" i="30"/>
  <c r="H294" i="30" s="1"/>
  <c r="F293" i="30"/>
  <c r="E293" i="30" s="1"/>
  <c r="D293" i="30"/>
  <c r="H293" i="30" s="1"/>
  <c r="H292" i="30"/>
  <c r="F292" i="30"/>
  <c r="E292" i="30" s="1"/>
  <c r="G292" i="30" s="1"/>
  <c r="D292" i="30"/>
  <c r="F291" i="30"/>
  <c r="F303" i="30" s="1"/>
  <c r="E291" i="30"/>
  <c r="E303" i="30" s="1"/>
  <c r="D291" i="30"/>
  <c r="D303" i="30" s="1"/>
  <c r="H288" i="30"/>
  <c r="G288" i="30"/>
  <c r="E284" i="30"/>
  <c r="D284" i="30"/>
  <c r="G284" i="30" s="1"/>
  <c r="E283" i="30"/>
  <c r="G283" i="30" s="1"/>
  <c r="D283" i="30"/>
  <c r="E282" i="30"/>
  <c r="D282" i="30"/>
  <c r="G282" i="30" s="1"/>
  <c r="E281" i="30"/>
  <c r="D281" i="30"/>
  <c r="G281" i="30" s="1"/>
  <c r="G280" i="30"/>
  <c r="E280" i="30"/>
  <c r="D280" i="30"/>
  <c r="E279" i="30"/>
  <c r="D279" i="30"/>
  <c r="G279" i="30" s="1"/>
  <c r="E278" i="30"/>
  <c r="D278" i="30"/>
  <c r="G278" i="30" s="1"/>
  <c r="E277" i="30"/>
  <c r="D277" i="30"/>
  <c r="G277" i="30" s="1"/>
  <c r="E276" i="30"/>
  <c r="D276" i="30"/>
  <c r="G276" i="30" s="1"/>
  <c r="E275" i="30"/>
  <c r="G275" i="30" s="1"/>
  <c r="D275" i="30"/>
  <c r="E274" i="30"/>
  <c r="D274" i="30"/>
  <c r="G274" i="30" s="1"/>
  <c r="E273" i="30"/>
  <c r="E285" i="30" s="1"/>
  <c r="D273" i="30"/>
  <c r="D285" i="30" s="1"/>
  <c r="F269" i="30"/>
  <c r="E269" i="30"/>
  <c r="G269" i="30" s="1"/>
  <c r="D269" i="30"/>
  <c r="H269" i="30" s="1"/>
  <c r="F268" i="30"/>
  <c r="E268" i="30" s="1"/>
  <c r="D268" i="30"/>
  <c r="H268" i="30" s="1"/>
  <c r="H267" i="30"/>
  <c r="F267" i="30"/>
  <c r="E267" i="30" s="1"/>
  <c r="G267" i="30" s="1"/>
  <c r="D267" i="30"/>
  <c r="F266" i="30"/>
  <c r="E266" i="30"/>
  <c r="D266" i="30"/>
  <c r="H266" i="30" s="1"/>
  <c r="F265" i="30"/>
  <c r="H265" i="30" s="1"/>
  <c r="D265" i="30"/>
  <c r="F264" i="30"/>
  <c r="E264" i="30" s="1"/>
  <c r="G264" i="30" s="1"/>
  <c r="D264" i="30"/>
  <c r="F263" i="30"/>
  <c r="E263" i="30"/>
  <c r="D263" i="30"/>
  <c r="H263" i="30" s="1"/>
  <c r="H262" i="30"/>
  <c r="F262" i="30"/>
  <c r="E262" i="30"/>
  <c r="D262" i="30"/>
  <c r="G262" i="30" s="1"/>
  <c r="F261" i="30"/>
  <c r="E261" i="30"/>
  <c r="G261" i="30" s="1"/>
  <c r="D261" i="30"/>
  <c r="H261" i="30" s="1"/>
  <c r="F260" i="30"/>
  <c r="E260" i="30" s="1"/>
  <c r="D260" i="30"/>
  <c r="H260" i="30" s="1"/>
  <c r="H259" i="30"/>
  <c r="F259" i="30"/>
  <c r="E259" i="30" s="1"/>
  <c r="G259" i="30" s="1"/>
  <c r="D259" i="30"/>
  <c r="F258" i="30"/>
  <c r="F270" i="30" s="1"/>
  <c r="E258" i="30"/>
  <c r="E270" i="30" s="1"/>
  <c r="D258" i="30"/>
  <c r="D270" i="30" s="1"/>
  <c r="H255" i="30"/>
  <c r="G255" i="30"/>
  <c r="E251" i="30"/>
  <c r="E250" i="30"/>
  <c r="D250" i="30"/>
  <c r="G250" i="30" s="1"/>
  <c r="E249" i="30"/>
  <c r="G249" i="30" s="1"/>
  <c r="D249" i="30"/>
  <c r="G248" i="30"/>
  <c r="E248" i="30"/>
  <c r="D248" i="30"/>
  <c r="E247" i="30"/>
  <c r="D247" i="30"/>
  <c r="G247" i="30" s="1"/>
  <c r="G246" i="30"/>
  <c r="E246" i="30"/>
  <c r="D246" i="30"/>
  <c r="E245" i="30"/>
  <c r="D245" i="30"/>
  <c r="G245" i="30" s="1"/>
  <c r="E244" i="30"/>
  <c r="D244" i="30"/>
  <c r="G244" i="30" s="1"/>
  <c r="E243" i="30"/>
  <c r="G243" i="30" s="1"/>
  <c r="D243" i="30"/>
  <c r="E242" i="30"/>
  <c r="D242" i="30"/>
  <c r="G242" i="30" s="1"/>
  <c r="E241" i="30"/>
  <c r="D241" i="30"/>
  <c r="G241" i="30" s="1"/>
  <c r="G240" i="30"/>
  <c r="E240" i="30"/>
  <c r="D240" i="30"/>
  <c r="E239" i="30"/>
  <c r="D239" i="30"/>
  <c r="D251" i="30" s="1"/>
  <c r="G251" i="30" s="1"/>
  <c r="F236" i="30"/>
  <c r="F235" i="30"/>
  <c r="E235" i="30"/>
  <c r="D235" i="30"/>
  <c r="H235" i="30" s="1"/>
  <c r="H234" i="30"/>
  <c r="F234" i="30"/>
  <c r="E234" i="30"/>
  <c r="G234" i="30" s="1"/>
  <c r="D234" i="30"/>
  <c r="G233" i="30"/>
  <c r="F233" i="30"/>
  <c r="H233" i="30" s="1"/>
  <c r="E233" i="30"/>
  <c r="D233" i="30"/>
  <c r="F232" i="30"/>
  <c r="E232" i="30"/>
  <c r="D232" i="30"/>
  <c r="H232" i="30" s="1"/>
  <c r="H231" i="30"/>
  <c r="F231" i="30"/>
  <c r="E231" i="30" s="1"/>
  <c r="G231" i="30" s="1"/>
  <c r="D231" i="30"/>
  <c r="F230" i="30"/>
  <c r="E230" i="30" s="1"/>
  <c r="D230" i="30"/>
  <c r="H230" i="30" s="1"/>
  <c r="F229" i="30"/>
  <c r="E229" i="30" s="1"/>
  <c r="D229" i="30"/>
  <c r="H229" i="30" s="1"/>
  <c r="H228" i="30"/>
  <c r="F228" i="30"/>
  <c r="E228" i="30" s="1"/>
  <c r="G228" i="30" s="1"/>
  <c r="D228" i="30"/>
  <c r="F227" i="30"/>
  <c r="E227" i="30"/>
  <c r="D227" i="30"/>
  <c r="H227" i="30" s="1"/>
  <c r="H226" i="30"/>
  <c r="F226" i="30"/>
  <c r="E226" i="30"/>
  <c r="G226" i="30" s="1"/>
  <c r="D226" i="30"/>
  <c r="G225" i="30"/>
  <c r="F225" i="30"/>
  <c r="H225" i="30" s="1"/>
  <c r="E225" i="30"/>
  <c r="D225" i="30"/>
  <c r="F224" i="30"/>
  <c r="E224" i="30"/>
  <c r="E236" i="30" s="1"/>
  <c r="D224" i="30"/>
  <c r="D236" i="30" s="1"/>
  <c r="H221" i="30"/>
  <c r="G221" i="30"/>
  <c r="E218" i="30"/>
  <c r="E217" i="30"/>
  <c r="D217" i="30"/>
  <c r="G217" i="30" s="1"/>
  <c r="E216" i="30"/>
  <c r="D216" i="30"/>
  <c r="G216" i="30" s="1"/>
  <c r="G215" i="30"/>
  <c r="E215" i="30"/>
  <c r="D215" i="30"/>
  <c r="E214" i="30"/>
  <c r="D214" i="30"/>
  <c r="G214" i="30" s="1"/>
  <c r="E213" i="30"/>
  <c r="D213" i="30"/>
  <c r="G213" i="30" s="1"/>
  <c r="E212" i="30"/>
  <c r="D212" i="30"/>
  <c r="G212" i="30" s="1"/>
  <c r="E211" i="30"/>
  <c r="D211" i="30"/>
  <c r="G211" i="30" s="1"/>
  <c r="E210" i="30"/>
  <c r="G210" i="30" s="1"/>
  <c r="D210" i="30"/>
  <c r="E209" i="30"/>
  <c r="D209" i="30"/>
  <c r="G209" i="30" s="1"/>
  <c r="E208" i="30"/>
  <c r="D208" i="30"/>
  <c r="G208" i="30" s="1"/>
  <c r="G207" i="30"/>
  <c r="E207" i="30"/>
  <c r="D207" i="30"/>
  <c r="E206" i="30"/>
  <c r="D206" i="30"/>
  <c r="D218" i="30" s="1"/>
  <c r="G218" i="30" s="1"/>
  <c r="F203" i="30"/>
  <c r="F202" i="30"/>
  <c r="E202" i="30"/>
  <c r="D202" i="30"/>
  <c r="H202" i="30" s="1"/>
  <c r="H201" i="30"/>
  <c r="F201" i="30"/>
  <c r="E201" i="30"/>
  <c r="G201" i="30" s="1"/>
  <c r="D201" i="30"/>
  <c r="F200" i="30"/>
  <c r="H200" i="30" s="1"/>
  <c r="E200" i="30"/>
  <c r="G200" i="30" s="1"/>
  <c r="D200" i="30"/>
  <c r="F199" i="30"/>
  <c r="E199" i="30"/>
  <c r="D199" i="30"/>
  <c r="H199" i="30" s="1"/>
  <c r="H198" i="30"/>
  <c r="F198" i="30"/>
  <c r="E198" i="30" s="1"/>
  <c r="G198" i="30" s="1"/>
  <c r="D198" i="30"/>
  <c r="F197" i="30"/>
  <c r="E197" i="30"/>
  <c r="D197" i="30"/>
  <c r="G197" i="30" s="1"/>
  <c r="F196" i="30"/>
  <c r="E196" i="30" s="1"/>
  <c r="D196" i="30"/>
  <c r="H196" i="30" s="1"/>
  <c r="F195" i="30"/>
  <c r="E195" i="30" s="1"/>
  <c r="G195" i="30" s="1"/>
  <c r="D195" i="30"/>
  <c r="F194" i="30"/>
  <c r="E194" i="30"/>
  <c r="D194" i="30"/>
  <c r="H194" i="30" s="1"/>
  <c r="H193" i="30"/>
  <c r="F193" i="30"/>
  <c r="E193" i="30"/>
  <c r="G193" i="30" s="1"/>
  <c r="D193" i="30"/>
  <c r="F192" i="30"/>
  <c r="H192" i="30" s="1"/>
  <c r="E192" i="30"/>
  <c r="G192" i="30" s="1"/>
  <c r="D192" i="30"/>
  <c r="F191" i="30"/>
  <c r="E191" i="30"/>
  <c r="E203" i="30" s="1"/>
  <c r="D191" i="30"/>
  <c r="D203" i="30" s="1"/>
  <c r="H188" i="30"/>
  <c r="G188" i="30"/>
  <c r="E185" i="30"/>
  <c r="E184" i="30"/>
  <c r="D184" i="30"/>
  <c r="G184" i="30" s="1"/>
  <c r="E183" i="30"/>
  <c r="D183" i="30"/>
  <c r="G183" i="30" s="1"/>
  <c r="G182" i="30"/>
  <c r="E182" i="30"/>
  <c r="D182" i="30"/>
  <c r="E181" i="30"/>
  <c r="D181" i="30"/>
  <c r="G181" i="30" s="1"/>
  <c r="E180" i="30"/>
  <c r="D180" i="30"/>
  <c r="G180" i="30" s="1"/>
  <c r="E179" i="30"/>
  <c r="D179" i="30"/>
  <c r="G179" i="30" s="1"/>
  <c r="E178" i="30"/>
  <c r="D178" i="30"/>
  <c r="G178" i="30" s="1"/>
  <c r="E177" i="30"/>
  <c r="G177" i="30" s="1"/>
  <c r="D177" i="30"/>
  <c r="E176" i="30"/>
  <c r="D176" i="30"/>
  <c r="G176" i="30" s="1"/>
  <c r="E175" i="30"/>
  <c r="D175" i="30"/>
  <c r="G175" i="30" s="1"/>
  <c r="G174" i="30"/>
  <c r="E174" i="30"/>
  <c r="D174" i="30"/>
  <c r="E173" i="30"/>
  <c r="D173" i="30"/>
  <c r="D185" i="30" s="1"/>
  <c r="G185" i="30" s="1"/>
  <c r="F170" i="30"/>
  <c r="F169" i="30"/>
  <c r="E169" i="30"/>
  <c r="D169" i="30"/>
  <c r="H169" i="30" s="1"/>
  <c r="H168" i="30"/>
  <c r="F168" i="30"/>
  <c r="E168" i="30" s="1"/>
  <c r="D168" i="30"/>
  <c r="G168" i="30" s="1"/>
  <c r="F167" i="30"/>
  <c r="H167" i="30" s="1"/>
  <c r="E167" i="30"/>
  <c r="G167" i="30" s="1"/>
  <c r="D167" i="30"/>
  <c r="F166" i="30"/>
  <c r="E166" i="30"/>
  <c r="D166" i="30"/>
  <c r="H166" i="30" s="1"/>
  <c r="H165" i="30"/>
  <c r="G165" i="30"/>
  <c r="F165" i="30"/>
  <c r="E165" i="30"/>
  <c r="D165" i="30"/>
  <c r="F164" i="30"/>
  <c r="E164" i="30"/>
  <c r="D164" i="30"/>
  <c r="H164" i="30" s="1"/>
  <c r="F163" i="30"/>
  <c r="E163" i="30" s="1"/>
  <c r="D163" i="30"/>
  <c r="H163" i="30" s="1"/>
  <c r="F162" i="30"/>
  <c r="E162" i="30" s="1"/>
  <c r="G162" i="30" s="1"/>
  <c r="D162" i="30"/>
  <c r="F161" i="30"/>
  <c r="E161" i="30"/>
  <c r="D161" i="30"/>
  <c r="H161" i="30" s="1"/>
  <c r="H160" i="30"/>
  <c r="F160" i="30"/>
  <c r="E160" i="30" s="1"/>
  <c r="D160" i="30"/>
  <c r="G160" i="30" s="1"/>
  <c r="F159" i="30"/>
  <c r="H159" i="30" s="1"/>
  <c r="E159" i="30"/>
  <c r="G159" i="30" s="1"/>
  <c r="D159" i="30"/>
  <c r="F158" i="30"/>
  <c r="E158" i="30"/>
  <c r="E170" i="30" s="1"/>
  <c r="D158" i="30"/>
  <c r="D170" i="30" s="1"/>
  <c r="H155" i="30"/>
  <c r="G155" i="30"/>
  <c r="G351" i="30" l="1"/>
  <c r="H336" i="30"/>
  <c r="H331" i="30"/>
  <c r="G325" i="30"/>
  <c r="G333" i="30"/>
  <c r="E324" i="30"/>
  <c r="E336" i="30" s="1"/>
  <c r="G336" i="30" s="1"/>
  <c r="G332" i="30"/>
  <c r="G339" i="30"/>
  <c r="H324" i="30"/>
  <c r="G326" i="30"/>
  <c r="G334" i="30"/>
  <c r="G303" i="30"/>
  <c r="H303" i="30"/>
  <c r="H297" i="30"/>
  <c r="G291" i="30"/>
  <c r="G299" i="30"/>
  <c r="G306" i="30"/>
  <c r="H291" i="30"/>
  <c r="G296" i="30"/>
  <c r="G293" i="30"/>
  <c r="G301" i="30"/>
  <c r="G270" i="30"/>
  <c r="H270" i="30"/>
  <c r="G285" i="30"/>
  <c r="G258" i="30"/>
  <c r="G266" i="30"/>
  <c r="G273" i="30"/>
  <c r="H258" i="30"/>
  <c r="G263" i="30"/>
  <c r="E265" i="30"/>
  <c r="G265" i="30" s="1"/>
  <c r="H264" i="30"/>
  <c r="G260" i="30"/>
  <c r="G268" i="30"/>
  <c r="G236" i="30"/>
  <c r="H236" i="30"/>
  <c r="G230" i="30"/>
  <c r="G227" i="30"/>
  <c r="G235" i="30"/>
  <c r="G224" i="30"/>
  <c r="G232" i="30"/>
  <c r="G239" i="30"/>
  <c r="H224" i="30"/>
  <c r="G229" i="30"/>
  <c r="G203" i="30"/>
  <c r="H203" i="30"/>
  <c r="G194" i="30"/>
  <c r="H197" i="30"/>
  <c r="G202" i="30"/>
  <c r="G199" i="30"/>
  <c r="G206" i="30"/>
  <c r="G191" i="30"/>
  <c r="H191" i="30"/>
  <c r="G196" i="30"/>
  <c r="H195" i="30"/>
  <c r="G170" i="30"/>
  <c r="H170" i="30"/>
  <c r="G164" i="30"/>
  <c r="G161" i="30"/>
  <c r="G169" i="30"/>
  <c r="G158" i="30"/>
  <c r="G166" i="30"/>
  <c r="G173" i="30"/>
  <c r="H158" i="30"/>
  <c r="G163" i="30"/>
  <c r="H162" i="30"/>
  <c r="E151" i="30"/>
  <c r="D151" i="30"/>
  <c r="E150" i="30"/>
  <c r="G150" i="30" s="1"/>
  <c r="D150" i="30"/>
  <c r="E149" i="30"/>
  <c r="D149" i="30"/>
  <c r="E148" i="30"/>
  <c r="D148" i="30"/>
  <c r="E147" i="30"/>
  <c r="G147" i="30" s="1"/>
  <c r="D147" i="30"/>
  <c r="E146" i="30"/>
  <c r="G146" i="30" s="1"/>
  <c r="D146" i="30"/>
  <c r="E145" i="30"/>
  <c r="G145" i="30" s="1"/>
  <c r="D145" i="30"/>
  <c r="E144" i="30"/>
  <c r="D144" i="30"/>
  <c r="E143" i="30"/>
  <c r="D143" i="30"/>
  <c r="E142" i="30"/>
  <c r="G142" i="30" s="1"/>
  <c r="D142" i="30"/>
  <c r="E141" i="30"/>
  <c r="D141" i="30"/>
  <c r="E140" i="30"/>
  <c r="E152" i="30" s="1"/>
  <c r="D140" i="30"/>
  <c r="D152" i="30" s="1"/>
  <c r="F136" i="30"/>
  <c r="E136" i="30" s="1"/>
  <c r="D136" i="30"/>
  <c r="F135" i="30"/>
  <c r="E135" i="30" s="1"/>
  <c r="G135" i="30" s="1"/>
  <c r="D135" i="30"/>
  <c r="F134" i="30"/>
  <c r="E134" i="30" s="1"/>
  <c r="D134" i="30"/>
  <c r="F133" i="30"/>
  <c r="H133" i="30" s="1"/>
  <c r="D133" i="30"/>
  <c r="F132" i="30"/>
  <c r="E132" i="30" s="1"/>
  <c r="D132" i="30"/>
  <c r="F131" i="30"/>
  <c r="H131" i="30" s="1"/>
  <c r="D131" i="30"/>
  <c r="F130" i="30"/>
  <c r="E130" i="30" s="1"/>
  <c r="D130" i="30"/>
  <c r="F129" i="30"/>
  <c r="E129" i="30" s="1"/>
  <c r="G129" i="30" s="1"/>
  <c r="D129" i="30"/>
  <c r="F128" i="30"/>
  <c r="E128" i="30" s="1"/>
  <c r="D128" i="30"/>
  <c r="F127" i="30"/>
  <c r="E127" i="30" s="1"/>
  <c r="G127" i="30" s="1"/>
  <c r="D127" i="30"/>
  <c r="F126" i="30"/>
  <c r="E126" i="30" s="1"/>
  <c r="D126" i="30"/>
  <c r="F125" i="30"/>
  <c r="F137" i="30" s="1"/>
  <c r="D125" i="30"/>
  <c r="D137" i="30" s="1"/>
  <c r="H122" i="30"/>
  <c r="G122" i="30"/>
  <c r="E117" i="30"/>
  <c r="D117" i="30"/>
  <c r="E116" i="30"/>
  <c r="D116" i="30"/>
  <c r="E115" i="30"/>
  <c r="D115" i="30"/>
  <c r="E114" i="30"/>
  <c r="G114" i="30" s="1"/>
  <c r="D114" i="30"/>
  <c r="E113" i="30"/>
  <c r="G113" i="30" s="1"/>
  <c r="D113" i="30"/>
  <c r="E112" i="30"/>
  <c r="D112" i="30"/>
  <c r="E111" i="30"/>
  <c r="D111" i="30"/>
  <c r="E110" i="30"/>
  <c r="G110" i="30" s="1"/>
  <c r="D110" i="30"/>
  <c r="E109" i="30"/>
  <c r="E118" i="30" s="1"/>
  <c r="D109" i="30"/>
  <c r="D118" i="30" s="1"/>
  <c r="F105" i="30"/>
  <c r="E105" i="30" s="1"/>
  <c r="D105" i="30"/>
  <c r="F104" i="30"/>
  <c r="E104" i="30" s="1"/>
  <c r="D104" i="30"/>
  <c r="F103" i="30"/>
  <c r="E103" i="30" s="1"/>
  <c r="D103" i="30"/>
  <c r="F102" i="30"/>
  <c r="E102" i="30" s="1"/>
  <c r="G102" i="30" s="1"/>
  <c r="D102" i="30"/>
  <c r="F101" i="30"/>
  <c r="E101" i="30" s="1"/>
  <c r="G101" i="30" s="1"/>
  <c r="D101" i="30"/>
  <c r="F100" i="30"/>
  <c r="E100" i="30" s="1"/>
  <c r="D100" i="30"/>
  <c r="F99" i="30"/>
  <c r="E99" i="30" s="1"/>
  <c r="D99" i="30"/>
  <c r="F98" i="30"/>
  <c r="E98" i="30" s="1"/>
  <c r="G98" i="30" s="1"/>
  <c r="D98" i="30"/>
  <c r="F97" i="30"/>
  <c r="F106" i="30" s="1"/>
  <c r="D97" i="30"/>
  <c r="D106" i="30" s="1"/>
  <c r="H94" i="30"/>
  <c r="G94" i="30"/>
  <c r="E89" i="30"/>
  <c r="D89" i="30"/>
  <c r="E88" i="30"/>
  <c r="D88" i="30"/>
  <c r="E87" i="30"/>
  <c r="G87" i="30" s="1"/>
  <c r="D87" i="30"/>
  <c r="E86" i="30"/>
  <c r="G86" i="30" s="1"/>
  <c r="D86" i="30"/>
  <c r="E85" i="30"/>
  <c r="D85" i="30"/>
  <c r="E84" i="30"/>
  <c r="G84" i="30" s="1"/>
  <c r="D84" i="30"/>
  <c r="E83" i="30"/>
  <c r="D83" i="30"/>
  <c r="E82" i="30"/>
  <c r="G82" i="30" s="1"/>
  <c r="D82" i="30"/>
  <c r="E81" i="30"/>
  <c r="D81" i="30"/>
  <c r="E80" i="30"/>
  <c r="E90" i="30" s="1"/>
  <c r="D80" i="30"/>
  <c r="D90" i="30" s="1"/>
  <c r="F76" i="30"/>
  <c r="E76" i="30" s="1"/>
  <c r="G76" i="30" s="1"/>
  <c r="D76" i="30"/>
  <c r="F75" i="30"/>
  <c r="E75" i="30" s="1"/>
  <c r="D75" i="30"/>
  <c r="F74" i="30"/>
  <c r="E74" i="30" s="1"/>
  <c r="G74" i="30" s="1"/>
  <c r="D74" i="30"/>
  <c r="F73" i="30"/>
  <c r="E73" i="30" s="1"/>
  <c r="D73" i="30"/>
  <c r="F72" i="30"/>
  <c r="H72" i="30" s="1"/>
  <c r="D72" i="30"/>
  <c r="F71" i="30"/>
  <c r="E71" i="30" s="1"/>
  <c r="G71" i="30" s="1"/>
  <c r="D71" i="30"/>
  <c r="F70" i="30"/>
  <c r="E70" i="30" s="1"/>
  <c r="D70" i="30"/>
  <c r="F69" i="30"/>
  <c r="E69" i="30" s="1"/>
  <c r="D69" i="30"/>
  <c r="F68" i="30"/>
  <c r="E68" i="30" s="1"/>
  <c r="G68" i="30" s="1"/>
  <c r="D68" i="30"/>
  <c r="F67" i="30"/>
  <c r="F77" i="30" s="1"/>
  <c r="D67" i="30"/>
  <c r="H64" i="30"/>
  <c r="G64" i="30"/>
  <c r="D16" i="30"/>
  <c r="C38" i="30"/>
  <c r="C26" i="30"/>
  <c r="C25" i="30"/>
  <c r="C24" i="30"/>
  <c r="C23" i="30"/>
  <c r="C22" i="30"/>
  <c r="C34" i="30"/>
  <c r="C33" i="30"/>
  <c r="C32" i="30"/>
  <c r="C31" i="30"/>
  <c r="C30" i="30"/>
  <c r="C46" i="30"/>
  <c r="C49" i="30"/>
  <c r="C48" i="30"/>
  <c r="C47" i="30"/>
  <c r="G324" i="30" l="1"/>
  <c r="H102" i="30"/>
  <c r="H99" i="30"/>
  <c r="E131" i="30"/>
  <c r="G131" i="30" s="1"/>
  <c r="H75" i="30"/>
  <c r="H134" i="30"/>
  <c r="E72" i="30"/>
  <c r="G72" i="30" s="1"/>
  <c r="H76" i="30"/>
  <c r="H104" i="30"/>
  <c r="E125" i="30"/>
  <c r="E137" i="30" s="1"/>
  <c r="G137" i="30" s="1"/>
  <c r="H129" i="30"/>
  <c r="H105" i="30"/>
  <c r="H67" i="30"/>
  <c r="G70" i="30"/>
  <c r="H100" i="30"/>
  <c r="G126" i="30"/>
  <c r="H69" i="30"/>
  <c r="H73" i="30"/>
  <c r="H68" i="30"/>
  <c r="H126" i="30"/>
  <c r="H130" i="30"/>
  <c r="G132" i="30"/>
  <c r="H135" i="30"/>
  <c r="H74" i="30"/>
  <c r="G104" i="30"/>
  <c r="H127" i="30"/>
  <c r="G136" i="30"/>
  <c r="H101" i="30"/>
  <c r="G128" i="30"/>
  <c r="E133" i="30"/>
  <c r="G133" i="30" s="1"/>
  <c r="G141" i="30"/>
  <c r="G83" i="30"/>
  <c r="G85" i="30"/>
  <c r="G111" i="30"/>
  <c r="G143" i="30"/>
  <c r="G89" i="30"/>
  <c r="G81" i="30"/>
  <c r="G88" i="30"/>
  <c r="G117" i="30"/>
  <c r="G149" i="30"/>
  <c r="G115" i="30"/>
  <c r="G112" i="30"/>
  <c r="G90" i="30"/>
  <c r="G116" i="30"/>
  <c r="G144" i="30"/>
  <c r="G151" i="30"/>
  <c r="G148" i="30"/>
  <c r="H137" i="30"/>
  <c r="G152" i="30"/>
  <c r="G134" i="30"/>
  <c r="H132" i="30"/>
  <c r="H128" i="30"/>
  <c r="H136" i="30"/>
  <c r="G140" i="30"/>
  <c r="H125" i="30"/>
  <c r="G130" i="30"/>
  <c r="G103" i="30"/>
  <c r="G118" i="30"/>
  <c r="H106" i="30"/>
  <c r="E97" i="30"/>
  <c r="E106" i="30" s="1"/>
  <c r="G106" i="30" s="1"/>
  <c r="H98" i="30"/>
  <c r="G100" i="30"/>
  <c r="G105" i="30"/>
  <c r="H103" i="30"/>
  <c r="H97" i="30"/>
  <c r="G109" i="30"/>
  <c r="G99" i="30"/>
  <c r="G69" i="30"/>
  <c r="H71" i="30"/>
  <c r="E67" i="30"/>
  <c r="E77" i="30" s="1"/>
  <c r="G73" i="30"/>
  <c r="G80" i="30"/>
  <c r="H70" i="30"/>
  <c r="G75" i="30"/>
  <c r="D77" i="30"/>
  <c r="C50" i="30"/>
  <c r="D41" i="30"/>
  <c r="G125" i="30" l="1"/>
  <c r="G97" i="30"/>
  <c r="G67" i="30"/>
  <c r="G77" i="30"/>
  <c r="H77" i="30"/>
  <c r="D38" i="30"/>
  <c r="D39" i="30"/>
  <c r="D40" i="30"/>
  <c r="D42" i="30" l="1"/>
  <c r="D33" i="30" l="1"/>
  <c r="D25" i="30"/>
  <c r="D32" i="30"/>
  <c r="D24" i="30"/>
  <c r="D31" i="30"/>
  <c r="D23" i="30"/>
  <c r="C56" i="30"/>
  <c r="C57" i="30" s="1"/>
  <c r="C58" i="30" s="1"/>
  <c r="D49" i="30" l="1"/>
  <c r="D48" i="30"/>
  <c r="D47" i="30"/>
  <c r="D46" i="30"/>
  <c r="C42" i="30"/>
  <c r="E25" i="30" l="1"/>
  <c r="E24" i="30"/>
  <c r="D50" i="30"/>
  <c r="E38" i="30"/>
  <c r="D34" i="30"/>
  <c r="C17" i="30" l="1"/>
  <c r="C15" i="30"/>
  <c r="E34" i="30"/>
  <c r="D26" i="30"/>
  <c r="D58" i="30"/>
  <c r="D57" i="30"/>
  <c r="D56" i="30"/>
  <c r="D55" i="30"/>
  <c r="E55" i="30" s="1"/>
  <c r="E58" i="30"/>
  <c r="E57" i="30"/>
  <c r="E56" i="30"/>
  <c r="U6" i="30"/>
  <c r="D17" i="30" s="1"/>
  <c r="U5" i="30"/>
  <c r="D15" i="30" s="1"/>
  <c r="U4" i="30"/>
  <c r="D14" i="30" s="1"/>
  <c r="C14" i="30" l="1"/>
  <c r="E26" i="30"/>
  <c r="G14" i="30"/>
  <c r="E17" i="30"/>
  <c r="G17" i="30"/>
  <c r="G15" i="30"/>
  <c r="E15" i="30"/>
  <c r="E14" i="30" l="1"/>
  <c r="V1" i="30"/>
  <c r="T9" i="30"/>
  <c r="V3" i="30"/>
  <c r="F5" i="30" s="1"/>
  <c r="O16" i="30" l="1"/>
  <c r="O17" i="30"/>
  <c r="O21" i="30"/>
  <c r="M19" i="30"/>
  <c r="O19" i="30" s="1"/>
  <c r="M9" i="30"/>
  <c r="O9" i="30" s="1"/>
  <c r="I36" i="30"/>
  <c r="I28" i="30"/>
  <c r="I20" i="30"/>
  <c r="I12" i="30"/>
  <c r="M18" i="30"/>
  <c r="O18" i="30" s="1"/>
  <c r="M8" i="30"/>
  <c r="O8" i="30" s="1"/>
  <c r="I35" i="30"/>
  <c r="I27" i="30"/>
  <c r="I19" i="30"/>
  <c r="I11" i="30"/>
  <c r="M15" i="30"/>
  <c r="O15" i="30" s="1"/>
  <c r="M7" i="30"/>
  <c r="O7" i="30" s="1"/>
  <c r="I34" i="30"/>
  <c r="I26" i="30"/>
  <c r="I18" i="30"/>
  <c r="I10" i="30"/>
  <c r="A48" i="30"/>
  <c r="A47" i="30"/>
  <c r="D45" i="30"/>
  <c r="M25" i="30"/>
  <c r="O25" i="30" s="1"/>
  <c r="M14" i="30"/>
  <c r="O14" i="30" s="1"/>
  <c r="M6" i="30"/>
  <c r="O6" i="30" s="1"/>
  <c r="I33" i="30"/>
  <c r="I25" i="30"/>
  <c r="I17" i="30"/>
  <c r="I9" i="30"/>
  <c r="M24" i="30"/>
  <c r="O24" i="30" s="1"/>
  <c r="M13" i="30"/>
  <c r="O13" i="30" s="1"/>
  <c r="M5" i="30"/>
  <c r="O5" i="30" s="1"/>
  <c r="I32" i="30"/>
  <c r="I24" i="30"/>
  <c r="I16" i="30"/>
  <c r="I8" i="30"/>
  <c r="A46" i="30"/>
  <c r="I5" i="30"/>
  <c r="A49" i="30"/>
  <c r="M23" i="30"/>
  <c r="O23" i="30" s="1"/>
  <c r="M12" i="30"/>
  <c r="O12" i="30" s="1"/>
  <c r="I39" i="30"/>
  <c r="I31" i="30"/>
  <c r="I23" i="30"/>
  <c r="I15" i="30"/>
  <c r="I7" i="30"/>
  <c r="A45" i="30"/>
  <c r="M22" i="30"/>
  <c r="O22" i="30" s="1"/>
  <c r="M11" i="30"/>
  <c r="O11" i="30" s="1"/>
  <c r="I38" i="30"/>
  <c r="I30" i="30"/>
  <c r="I22" i="30"/>
  <c r="I14" i="30"/>
  <c r="I6" i="30"/>
  <c r="M20" i="30"/>
  <c r="O20" i="30" s="1"/>
  <c r="M10" i="30"/>
  <c r="O10" i="30" s="1"/>
  <c r="I37" i="30"/>
  <c r="I29" i="30"/>
  <c r="I21" i="30"/>
  <c r="I13" i="30"/>
  <c r="C54" i="30"/>
  <c r="A37" i="30"/>
  <c r="A31" i="30"/>
  <c r="A41" i="30"/>
  <c r="A40" i="30"/>
  <c r="A39" i="30"/>
  <c r="A38" i="30"/>
  <c r="A25" i="30"/>
  <c r="A32" i="30"/>
  <c r="A24" i="30"/>
  <c r="A33" i="30"/>
  <c r="A23" i="30"/>
  <c r="A30" i="30"/>
  <c r="A18" i="30"/>
  <c r="A16" i="30"/>
  <c r="C37" i="30"/>
  <c r="A61" i="30"/>
  <c r="I1" i="30"/>
  <c r="M29" i="30"/>
  <c r="N29" i="30" s="1"/>
  <c r="M27" i="30"/>
  <c r="M3" i="30"/>
  <c r="I3" i="30"/>
  <c r="A20" i="30"/>
  <c r="A29" i="30"/>
  <c r="E54" i="30"/>
  <c r="E45" i="30"/>
  <c r="D54" i="30"/>
  <c r="A53" i="30"/>
  <c r="C45" i="30"/>
  <c r="E37" i="30"/>
  <c r="A58" i="30"/>
  <c r="A57" i="30"/>
  <c r="A44" i="30"/>
  <c r="D37" i="30"/>
  <c r="A56" i="30"/>
  <c r="A36" i="30"/>
  <c r="A28" i="30"/>
  <c r="E29" i="30"/>
  <c r="C29" i="30"/>
  <c r="A54" i="30"/>
  <c r="A55" i="30"/>
  <c r="D29" i="30"/>
  <c r="D21" i="30"/>
  <c r="C13" i="30"/>
  <c r="E21" i="30"/>
  <c r="C21" i="30"/>
  <c r="A22" i="30"/>
  <c r="A14" i="30"/>
  <c r="E13" i="30"/>
  <c r="A21" i="30"/>
  <c r="A15" i="30"/>
  <c r="A17" i="30"/>
  <c r="A12" i="30"/>
  <c r="D13" i="30"/>
  <c r="K34" i="30" l="1"/>
  <c r="J34" i="30"/>
  <c r="K12" i="30"/>
  <c r="J12" i="30"/>
  <c r="N12" i="30"/>
  <c r="J37" i="30"/>
  <c r="K37" i="30"/>
  <c r="K20" i="30"/>
  <c r="J20" i="30"/>
  <c r="N20" i="30"/>
  <c r="N6" i="30"/>
  <c r="J6" i="30"/>
  <c r="K6" i="30"/>
  <c r="J7" i="30"/>
  <c r="N7" i="30"/>
  <c r="K7" i="30"/>
  <c r="N5" i="30"/>
  <c r="J5" i="30"/>
  <c r="K5" i="30"/>
  <c r="N14" i="30"/>
  <c r="J14" i="30"/>
  <c r="K14" i="30"/>
  <c r="J15" i="30"/>
  <c r="K15" i="30"/>
  <c r="N15" i="30"/>
  <c r="N9" i="30"/>
  <c r="K9" i="30"/>
  <c r="J9" i="30"/>
  <c r="K11" i="30"/>
  <c r="J11" i="30"/>
  <c r="N11" i="30"/>
  <c r="K28" i="30"/>
  <c r="J28" i="30"/>
  <c r="K32" i="30"/>
  <c r="J32" i="30"/>
  <c r="K26" i="30"/>
  <c r="J26" i="30"/>
  <c r="K13" i="30"/>
  <c r="J13" i="30"/>
  <c r="N13" i="30"/>
  <c r="N22" i="30"/>
  <c r="J22" i="30"/>
  <c r="K22" i="30"/>
  <c r="J23" i="30"/>
  <c r="N23" i="30"/>
  <c r="K23" i="30"/>
  <c r="N8" i="30"/>
  <c r="J8" i="30"/>
  <c r="K8" i="30"/>
  <c r="N17" i="30"/>
  <c r="K17" i="30"/>
  <c r="J17" i="30"/>
  <c r="K19" i="30"/>
  <c r="N19" i="30"/>
  <c r="J19" i="30"/>
  <c r="K36" i="30"/>
  <c r="J36" i="30"/>
  <c r="J21" i="30"/>
  <c r="K21" i="30"/>
  <c r="N21" i="30"/>
  <c r="J30" i="30"/>
  <c r="K30" i="30"/>
  <c r="J31" i="30"/>
  <c r="K31" i="30"/>
  <c r="J16" i="30"/>
  <c r="N16" i="30"/>
  <c r="K16" i="30"/>
  <c r="N25" i="30"/>
  <c r="K25" i="30"/>
  <c r="J25" i="30"/>
  <c r="J10" i="30"/>
  <c r="K10" i="30"/>
  <c r="N10" i="30"/>
  <c r="K27" i="30"/>
  <c r="J27" i="30"/>
  <c r="K29" i="30"/>
  <c r="J29" i="30"/>
  <c r="J38" i="30"/>
  <c r="K38" i="30"/>
  <c r="J39" i="30"/>
  <c r="K39" i="30"/>
  <c r="N24" i="30"/>
  <c r="K24" i="30"/>
  <c r="J24" i="30"/>
  <c r="K33" i="30"/>
  <c r="J33" i="30"/>
  <c r="K18" i="30"/>
  <c r="J18" i="30"/>
  <c r="N18" i="30"/>
  <c r="K35" i="30"/>
  <c r="J35" i="30"/>
  <c r="O29" i="30"/>
  <c r="E39" i="30" l="1"/>
  <c r="E40" i="30"/>
  <c r="E41" i="30" l="1"/>
  <c r="F4" i="30"/>
  <c r="A9" i="30"/>
  <c r="A7" i="30"/>
  <c r="A1" i="30"/>
  <c r="C7" i="30" l="1"/>
  <c r="E42" i="30" l="1"/>
  <c r="C16" i="30"/>
  <c r="E16" i="30" s="1"/>
  <c r="D12" i="5" l="1"/>
  <c r="A10" i="5" l="1"/>
  <c r="D10" i="5"/>
  <c r="D8" i="5"/>
  <c r="A8" i="5" l="1"/>
  <c r="M3" i="5" l="1"/>
  <c r="A34" i="5"/>
  <c r="A32" i="5"/>
  <c r="A31" i="5"/>
  <c r="A30" i="5"/>
  <c r="A29" i="5"/>
  <c r="A28" i="5"/>
  <c r="A27" i="5"/>
  <c r="A19" i="5"/>
  <c r="A18" i="5"/>
  <c r="A23" i="5"/>
  <c r="A22" i="5"/>
  <c r="A21" i="5"/>
  <c r="A20" i="5"/>
  <c r="J25" i="5"/>
  <c r="H25" i="5"/>
  <c r="G25" i="5"/>
  <c r="F25" i="5"/>
  <c r="E25" i="5"/>
  <c r="J16" i="5"/>
  <c r="H16" i="5"/>
  <c r="G16" i="5"/>
  <c r="F16" i="5"/>
  <c r="E16" i="5"/>
  <c r="A25" i="5"/>
  <c r="A16" i="5"/>
  <c r="J12" i="5"/>
  <c r="G12" i="5"/>
  <c r="A14" i="5"/>
  <c r="A6" i="5"/>
  <c r="J4" i="5"/>
  <c r="H4" i="5"/>
  <c r="F4" i="5"/>
  <c r="D4" i="5"/>
  <c r="K1" i="5"/>
  <c r="A2" i="5"/>
  <c r="A1" i="5" l="1"/>
  <c r="E27" i="5" l="1"/>
  <c r="F27" i="27" l="1"/>
  <c r="F26" i="27" l="1"/>
  <c r="H13" i="27" s="1"/>
  <c r="I2" i="27"/>
  <c r="E1" i="27"/>
  <c r="F18" i="27"/>
  <c r="E30" i="27"/>
  <c r="J30" i="27" s="1"/>
  <c r="D17" i="27"/>
  <c r="N2" i="27" s="1"/>
  <c r="K2" i="27"/>
  <c r="D8" i="27" l="1"/>
  <c r="D10" i="27"/>
  <c r="E26" i="27"/>
  <c r="D13" i="27" s="1"/>
  <c r="B26" i="27"/>
  <c r="B17" i="27"/>
  <c r="E19" i="27"/>
  <c r="H19" i="27" s="1"/>
  <c r="J21" i="27"/>
  <c r="E28" i="27"/>
  <c r="J28" i="27" s="1"/>
  <c r="E22" i="27"/>
  <c r="H22" i="27" s="1"/>
  <c r="E31" i="27"/>
  <c r="J31" i="27" s="1"/>
  <c r="H30" i="27"/>
  <c r="J19" i="27"/>
  <c r="E29" i="27"/>
  <c r="J29" i="27" s="1"/>
  <c r="E20" i="27"/>
  <c r="H20" i="27" s="1"/>
  <c r="J22" i="27"/>
  <c r="H6" i="27"/>
  <c r="F17" i="27"/>
  <c r="J20" i="27"/>
  <c r="E21" i="27"/>
  <c r="H21" i="27" s="1"/>
  <c r="E17" i="27" l="1"/>
  <c r="D6" i="27" s="1"/>
  <c r="G26" i="27"/>
  <c r="G27" i="27" s="1"/>
  <c r="E27" i="27" s="1"/>
  <c r="H27" i="27" s="1"/>
  <c r="H28" i="27"/>
  <c r="H29" i="27"/>
  <c r="F6" i="27"/>
  <c r="H31" i="27"/>
  <c r="H17" i="27" l="1"/>
  <c r="G17" i="27"/>
  <c r="J6" i="27" s="1"/>
  <c r="J13" i="27"/>
  <c r="I26" i="27"/>
  <c r="I27" i="27" s="1"/>
  <c r="J27" i="27" s="1"/>
  <c r="I17" i="27" l="1"/>
  <c r="J17" i="27" s="1"/>
  <c r="G18" i="27"/>
  <c r="I18" i="27" s="1"/>
  <c r="J18" i="27" s="1"/>
  <c r="J26" i="27"/>
  <c r="E18" i="5" l="1"/>
  <c r="E18" i="27"/>
  <c r="H18" i="27" s="1"/>
  <c r="F19" i="5" l="1"/>
  <c r="I2" i="5"/>
  <c r="D6" i="5" l="1"/>
  <c r="D14" i="5"/>
  <c r="O3" i="5"/>
  <c r="K2" i="5" s="1"/>
  <c r="F27" i="5"/>
  <c r="G14" i="5" s="1"/>
  <c r="E23" i="5"/>
  <c r="D2" i="5"/>
  <c r="E1" i="5"/>
  <c r="F28" i="5"/>
  <c r="E31" i="5" s="1"/>
  <c r="H23" i="5" l="1"/>
  <c r="G27" i="5"/>
  <c r="G28" i="5" s="1"/>
  <c r="E28" i="5" s="1"/>
  <c r="J23" i="5"/>
  <c r="E21" i="5"/>
  <c r="H21" i="5" s="1"/>
  <c r="B27" i="5"/>
  <c r="B18" i="5"/>
  <c r="J20" i="5"/>
  <c r="E20" i="5"/>
  <c r="H20" i="5" s="1"/>
  <c r="H6" i="5"/>
  <c r="J22" i="5"/>
  <c r="J21" i="5"/>
  <c r="E22" i="5"/>
  <c r="H22" i="5" s="1"/>
  <c r="J31" i="5"/>
  <c r="H31" i="5"/>
  <c r="E32" i="5"/>
  <c r="E29" i="5"/>
  <c r="E30" i="5"/>
  <c r="J14" i="5" l="1"/>
  <c r="I27" i="5"/>
  <c r="I28" i="5" s="1"/>
  <c r="J28" i="5" s="1"/>
  <c r="H29" i="5"/>
  <c r="J29" i="5"/>
  <c r="J32" i="5"/>
  <c r="H32" i="5"/>
  <c r="H28" i="5"/>
  <c r="H30" i="5"/>
  <c r="J30" i="5"/>
  <c r="E46" i="30" l="1"/>
  <c r="E30" i="30"/>
  <c r="E22" i="30"/>
  <c r="J27" i="5"/>
  <c r="E50" i="30" l="1"/>
  <c r="E47" i="30" l="1"/>
  <c r="E23" i="30"/>
  <c r="E31" i="30"/>
  <c r="E32" i="30" l="1"/>
  <c r="E48" i="30"/>
  <c r="E49" i="30" l="1"/>
  <c r="E33" i="30"/>
  <c r="D18" i="5"/>
  <c r="N4" i="5" l="1"/>
  <c r="F18" i="5"/>
  <c r="F6" i="5" l="1"/>
  <c r="H18" i="5"/>
  <c r="G18" i="5"/>
  <c r="I18" i="5" l="1"/>
  <c r="J18" i="5" s="1"/>
  <c r="G19" i="5"/>
  <c r="J6" i="5"/>
  <c r="I19" i="5" l="1"/>
  <c r="J19" i="5" s="1"/>
  <c r="E19" i="5"/>
  <c r="H19" i="5" s="1"/>
</calcChain>
</file>

<file path=xl/connections.xml><?xml version="1.0" encoding="utf-8"?>
<connections xmlns="http://schemas.openxmlformats.org/spreadsheetml/2006/main">
  <connection id="1" sourceFile="D:\Users\Patrice\Documents\NISSAN\Meldungen RL FY12.xls" keepAlive="1" name="Meldungen RL FY12" type="5" refreshedVersion="0" new="1" background="1" saveData="1">
    <dbPr connection="Provider=Microsoft.ACE.OLEDB.12.0;Password=&quot;&quot;;User ID=Admin;Data Source=D:\Users\Patrice\Documents\NISSAN\Meldungen RL FY12.xls;Mode=Share Deny Write;Extended Properties=&quot;HDR=YES;&quot;;Jet OLEDB:System database=&quot;&quot;;Jet OLEDB:Registry Path=&quot;&quot;;Jet OLEDB:Database Password=&quot;&quot;;Jet OLEDB:Engine Type=3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Jet OLEDB:Bypass UserInfo Validation=False;Jet OLEDB:Limited DB Caching=False;Jet OLEDB:Bypass ChoiceField Validation=False" command="TOTAL$" commandType="3"/>
  </connection>
</connections>
</file>

<file path=xl/sharedStrings.xml><?xml version="1.0" encoding="utf-8"?>
<sst xmlns="http://schemas.openxmlformats.org/spreadsheetml/2006/main" count="623" uniqueCount="119">
  <si>
    <t>P5 - 2012</t>
  </si>
  <si>
    <t>%
Bonus</t>
  </si>
  <si>
    <t>Colonne1</t>
  </si>
  <si>
    <t>CA total
(Bonus 3.2)</t>
  </si>
  <si>
    <t>Saiso.</t>
  </si>
  <si>
    <t>Mois:</t>
  </si>
  <si>
    <t>Accessoires</t>
  </si>
  <si>
    <t>TOTAL ZONE</t>
  </si>
  <si>
    <t>Kumuliert FY12</t>
  </si>
  <si>
    <t>Ziel Ende Monat</t>
  </si>
  <si>
    <t>Ziel FY12</t>
  </si>
  <si>
    <t>Real. Saiso.</t>
  </si>
  <si>
    <t>Real. FY</t>
  </si>
  <si>
    <t>Realisiert FY11 (gleiche Periode)</t>
  </si>
  <si>
    <t>Wachstum</t>
  </si>
  <si>
    <t>Teile &amp; Zubehör (Bonus 3.1)</t>
  </si>
  <si>
    <t>Umsatz netto (Bonus 3.2)</t>
  </si>
  <si>
    <t>Pièces</t>
  </si>
  <si>
    <t>HARDTOP</t>
  </si>
  <si>
    <t>OFFROAD</t>
  </si>
  <si>
    <t>Roues</t>
  </si>
  <si>
    <t>Revente</t>
  </si>
  <si>
    <t>Zubehör</t>
  </si>
  <si>
    <t>Date</t>
  </si>
  <si>
    <t>HDL (#/Name)</t>
  </si>
  <si>
    <t>Am</t>
  </si>
  <si>
    <t>Monat:</t>
  </si>
  <si>
    <t>Realisiert FY12</t>
  </si>
  <si>
    <t>Ziel zur Ende Monat</t>
  </si>
  <si>
    <t>Budget FY12</t>
  </si>
  <si>
    <t>% realisiert</t>
  </si>
  <si>
    <t>Konk. Teile und Zubehör
(Bonus 3.1)</t>
  </si>
  <si>
    <t>Ist FY11, gleiche Periode</t>
  </si>
  <si>
    <t>% Entwicklung</t>
  </si>
  <si>
    <t>BONUS 3.1
(Konk. Teile und Zubehör)</t>
  </si>
  <si>
    <t>Saisonalität</t>
  </si>
  <si>
    <t>Umsatz realisiert</t>
  </si>
  <si>
    <t>Umsatz Ziel</t>
  </si>
  <si>
    <t>%
real.</t>
  </si>
  <si>
    <t>bleibt übrig</t>
  </si>
  <si>
    <t>Planzahl Bonus</t>
  </si>
  <si>
    <t>Ist am</t>
  </si>
  <si>
    <t>Planzahl am</t>
  </si>
  <si>
    <t>Real. 95% am</t>
  </si>
  <si>
    <t>Real. 100% am</t>
  </si>
  <si>
    <t>Real. 105% am</t>
  </si>
  <si>
    <t>Real. 110% am</t>
  </si>
  <si>
    <t>BONUS 3.2
(Umsatzwachstum)</t>
  </si>
  <si>
    <t>Total Umsatz netto</t>
  </si>
  <si>
    <t>Umsatz J-1</t>
  </si>
  <si>
    <t>%
Entwicklung
J-1</t>
  </si>
  <si>
    <t>* Für 0.25% am</t>
  </si>
  <si>
    <t>* Für 0.5% am</t>
  </si>
  <si>
    <t>* Für 0.75% am</t>
  </si>
  <si>
    <t>* Für 1.25% am</t>
  </si>
  <si>
    <t>*Umsatz Planzahl für x Rückvergütung am</t>
  </si>
  <si>
    <t>Total</t>
  </si>
  <si>
    <t>Langue/Sprache</t>
  </si>
  <si>
    <t>F</t>
  </si>
  <si>
    <t>D</t>
  </si>
  <si>
    <t>3.1</t>
  </si>
  <si>
    <t>3.2</t>
  </si>
  <si>
    <t>% bonus</t>
  </si>
  <si>
    <t>Konkurrenzierte Teile</t>
  </si>
  <si>
    <t>Langue</t>
  </si>
  <si>
    <t>Bonus %</t>
  </si>
  <si>
    <t>Description</t>
  </si>
  <si>
    <t>CA FY13</t>
  </si>
  <si>
    <t>CA FY12</t>
  </si>
  <si>
    <t>INTERIEUR</t>
  </si>
  <si>
    <t>Saiso access.</t>
  </si>
  <si>
    <t>Saiso revente</t>
  </si>
  <si>
    <t>Saiso pièces</t>
  </si>
  <si>
    <t>*</t>
  </si>
  <si>
    <t>Client 1</t>
  </si>
  <si>
    <t>Client 2</t>
  </si>
  <si>
    <t>Client 3</t>
  </si>
  <si>
    <t>Client 4</t>
  </si>
  <si>
    <t>Client 5</t>
  </si>
  <si>
    <t>Client 6</t>
  </si>
  <si>
    <t>Client 7</t>
  </si>
  <si>
    <t>Client 8</t>
  </si>
  <si>
    <t>Client 9</t>
  </si>
  <si>
    <t>Client 10</t>
  </si>
  <si>
    <t>Client 11</t>
  </si>
  <si>
    <t>Client 12</t>
  </si>
  <si>
    <t>Client 13</t>
  </si>
  <si>
    <t>Client 14</t>
  </si>
  <si>
    <t>Client</t>
  </si>
  <si>
    <t>Agents client 19</t>
  </si>
  <si>
    <t>Agent 1</t>
  </si>
  <si>
    <t>Agent 2</t>
  </si>
  <si>
    <t>Agent 3</t>
  </si>
  <si>
    <t>Agent 4</t>
  </si>
  <si>
    <t>Agent 5</t>
  </si>
  <si>
    <t>Agent 6</t>
  </si>
  <si>
    <t>Agent 7</t>
  </si>
  <si>
    <t>Agent 8</t>
  </si>
  <si>
    <t>Agent 9</t>
  </si>
  <si>
    <t>Agent 10</t>
  </si>
  <si>
    <t>Agents client 32</t>
  </si>
  <si>
    <t>Agents client 40</t>
  </si>
  <si>
    <t>Agent 11</t>
  </si>
  <si>
    <t>Agent 12</t>
  </si>
  <si>
    <t>Section 19</t>
  </si>
  <si>
    <t>Section 32</t>
  </si>
  <si>
    <t>Section 40</t>
  </si>
  <si>
    <t>Section 263</t>
  </si>
  <si>
    <t>Agents client 263</t>
  </si>
  <si>
    <t>Agents client 305</t>
  </si>
  <si>
    <t>Section 305</t>
  </si>
  <si>
    <t>Section 453</t>
  </si>
  <si>
    <t>Agents client 453</t>
  </si>
  <si>
    <t>Agents client 459</t>
  </si>
  <si>
    <t>Section 459</t>
  </si>
  <si>
    <t>Section 487</t>
  </si>
  <si>
    <t>Section 497</t>
  </si>
  <si>
    <t>Agents client 497</t>
  </si>
  <si>
    <t>Agents client 487</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</si>
</sst>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5" formatCode="&quot;CHF&quot;\ #,##0;\-&quot;CHF&quot;\ #,##0"/>
    <numFmt numFmtId="44" formatCode="_-&quot;CHF&quot;\ * #,##0.00_-;\-&quot;CHF&quot;\ * #,##0.00_-;_-&quot;CHF&quot;\ * &quot;-&quot;??_-;_-@_-"/>
    <numFmt numFmtId="164" formatCode="_ &quot;fr.&quot;\ * #,##0.00_ ;_ &quot;fr.&quot;\ * \-#,##0.00_ ;_ &quot;fr.&quot;\ * &quot;-&quot;??_ ;_ @_ "/>
    <numFmt numFmtId="165" formatCode=";;;"/>
    <numFmt numFmtId="166" formatCode="0.0%"/>
    <numFmt numFmtId="167" formatCode="dd/mm/yy;@"/>
    <numFmt numFmtId="168" formatCode="0\60000"/>
    <numFmt numFmtId="169" formatCode="&quot;CHF&quot;\ #,##0.00"/>
    <numFmt numFmtId="170" formatCode="_-&quot;CHF&quot;\ * #,##0_-;\-&quot;CHF&quot;\ * #,##0_-;_-&quot;CHF&quot;\ * &quot;-&quot;??_-;_-@_-"/>
    <numFmt numFmtId="171" formatCode="&quot;CHF&quot;\ #,##0"/>
    <numFmt numFmtId="172" formatCode="_-&quot;CHF&quot;\ * #,##0_-;\-&quot;CHF&quot;\ * #,##0_-;_-&quot;CHF&quot;\ * &quot;-&quot;?_-;_-@_-"/>
  </numFmts>
  <fonts count="30" x14ac:knownFonts="1">
    <font>
      <sz val="10"/>
      <name val="Arial"/>
    </font>
    <font>
      <sz val="10"/>
      <name val="Arial"/>
      <family val="2"/>
    </font>
    <font>
      <b/>
      <sz val="10"/>
      <name val="Verdana"/>
      <family val="2"/>
    </font>
    <font>
      <sz val="10"/>
      <name val="Verdana"/>
      <family val="2"/>
    </font>
    <font>
      <sz val="10"/>
      <color indexed="8"/>
      <name val="Arial"/>
      <family val="2"/>
    </font>
    <font>
      <sz val="8"/>
      <name val="Arial"/>
      <family val="2"/>
    </font>
    <font>
      <sz val="7"/>
      <name val="Verdana"/>
      <family val="2"/>
    </font>
    <font>
      <b/>
      <sz val="8"/>
      <name val="Verdana"/>
      <family val="2"/>
    </font>
    <font>
      <sz val="8"/>
      <name val="Verdana"/>
      <family val="2"/>
    </font>
    <font>
      <b/>
      <sz val="8"/>
      <color indexed="9"/>
      <name val="Verdana"/>
      <family val="2"/>
    </font>
    <font>
      <b/>
      <sz val="8"/>
      <color indexed="43"/>
      <name val="Verdana"/>
      <family val="2"/>
    </font>
    <font>
      <b/>
      <sz val="8"/>
      <color indexed="41"/>
      <name val="Verdana"/>
      <family val="2"/>
    </font>
    <font>
      <b/>
      <sz val="8"/>
      <color indexed="22"/>
      <name val="Verdana"/>
      <family val="2"/>
    </font>
    <font>
      <sz val="8"/>
      <color indexed="9"/>
      <name val="Verdana"/>
      <family val="2"/>
    </font>
    <font>
      <b/>
      <sz val="11"/>
      <name val="Verdana"/>
      <family val="2"/>
    </font>
    <font>
      <b/>
      <sz val="8"/>
      <color theme="8" tint="0.59999389629810485"/>
      <name val="Verdana"/>
      <family val="2"/>
    </font>
    <font>
      <b/>
      <sz val="11"/>
      <color rgb="FF3F3F3F"/>
      <name val="Calibri"/>
      <family val="2"/>
      <scheme val="minor"/>
    </font>
    <font>
      <b/>
      <sz val="11"/>
      <color theme="0"/>
      <name val="Calibri"/>
      <family val="2"/>
      <scheme val="minor"/>
    </font>
    <font>
      <b/>
      <sz val="14"/>
      <name val="Verdana"/>
      <family val="2"/>
    </font>
    <font>
      <sz val="10"/>
      <name val="Verdana"/>
      <family val="2"/>
    </font>
    <font>
      <b/>
      <sz val="8"/>
      <color indexed="10"/>
      <name val="Verdana"/>
      <family val="2"/>
    </font>
    <font>
      <b/>
      <sz val="8"/>
      <name val="Arial"/>
      <family val="2"/>
    </font>
    <font>
      <b/>
      <sz val="10"/>
      <name val="Arial"/>
      <family val="2"/>
    </font>
    <font>
      <b/>
      <sz val="12"/>
      <name val="Verdana"/>
      <family val="2"/>
    </font>
    <font>
      <sz val="10"/>
      <color rgb="FFFF0000"/>
      <name val="Verdana"/>
      <family val="2"/>
    </font>
    <font>
      <b/>
      <sz val="10"/>
      <color theme="0"/>
      <name val="Verdana"/>
      <family val="2"/>
    </font>
    <font>
      <b/>
      <sz val="7.5"/>
      <name val="Verdana"/>
      <family val="2"/>
    </font>
    <font>
      <sz val="7.5"/>
      <name val="Verdana"/>
      <family val="2"/>
    </font>
    <font>
      <sz val="11"/>
      <name val="Calibri"/>
      <family val="2"/>
    </font>
    <font>
      <sz val="22"/>
      <name val="Verdana"/>
      <family val="2"/>
    </font>
  </fonts>
  <fills count="13">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22"/>
        <bgColor indexed="64"/>
      </patternFill>
    </fill>
    <fill>
      <patternFill patternType="solid">
        <fgColor indexed="41"/>
        <bgColor indexed="64"/>
      </patternFill>
    </fill>
    <fill>
      <patternFill patternType="solid">
        <fgColor indexed="55"/>
        <bgColor indexed="64"/>
      </patternFill>
    </fill>
    <fill>
      <patternFill patternType="solid">
        <fgColor theme="0"/>
        <bgColor indexed="64"/>
      </patternFill>
    </fill>
    <fill>
      <patternFill patternType="solid">
        <fgColor rgb="FFF2F2F2"/>
      </patternFill>
    </fill>
    <fill>
      <patternFill patternType="solid">
        <fgColor rgb="FFA5A5A5"/>
      </patternFill>
    </fill>
    <fill>
      <patternFill patternType="solid">
        <fgColor theme="4" tint="0.79998168889431442"/>
        <bgColor indexed="64"/>
      </patternFill>
    </fill>
    <fill>
      <patternFill patternType="solid">
        <fgColor theme="4" tint="-0.499984740745262"/>
        <bgColor indexed="64"/>
      </patternFill>
    </fill>
    <fill>
      <patternFill patternType="solid">
        <fgColor theme="4" tint="0.39997558519241921"/>
        <bgColor indexed="64"/>
      </patternFill>
    </fill>
  </fills>
  <borders count="92">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bottom/>
      <diagonal/>
    </border>
    <border>
      <left style="thin">
        <color indexed="64"/>
      </left>
      <right style="hair">
        <color indexed="64"/>
      </right>
      <top style="hair">
        <color indexed="64"/>
      </top>
      <bottom style="hair">
        <color indexed="64"/>
      </bottom>
      <diagonal/>
    </border>
    <border>
      <left style="hair">
        <color indexed="64"/>
      </left>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thin">
        <color indexed="64"/>
      </bottom>
      <diagonal/>
    </border>
    <border>
      <left/>
      <right style="thin">
        <color indexed="64"/>
      </right>
      <top style="hair">
        <color indexed="64"/>
      </top>
      <bottom style="thin">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hair">
        <color indexed="64"/>
      </top>
      <bottom style="hair">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right/>
      <top/>
      <bottom style="hair">
        <color indexed="64"/>
      </bottom>
      <diagonal/>
    </border>
    <border>
      <left/>
      <right style="thin">
        <color indexed="64"/>
      </right>
      <top/>
      <bottom style="hair">
        <color indexed="64"/>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3F3F3F"/>
      </left>
      <right/>
      <top style="thin">
        <color rgb="FF3F3F3F"/>
      </top>
      <bottom style="thin">
        <color rgb="FF3F3F3F"/>
      </bottom>
      <diagonal/>
    </border>
    <border>
      <left/>
      <right style="medium">
        <color indexed="64"/>
      </right>
      <top style="thin">
        <color indexed="64"/>
      </top>
      <bottom style="medium">
        <color indexed="64"/>
      </bottom>
      <diagonal/>
    </border>
    <border>
      <left/>
      <right/>
      <top style="dashed">
        <color auto="1"/>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bottom/>
      <diagonal/>
    </border>
    <border>
      <left/>
      <right style="hair">
        <color indexed="64"/>
      </right>
      <top style="thin">
        <color indexed="64"/>
      </top>
      <bottom style="hair">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theme="3" tint="-0.24994659260841701"/>
      </right>
      <top/>
      <bottom style="thin">
        <color theme="3" tint="-0.24994659260841701"/>
      </bottom>
      <diagonal/>
    </border>
    <border>
      <left style="thin">
        <color theme="3" tint="-0.24994659260841701"/>
      </left>
      <right style="thin">
        <color theme="3" tint="-0.24994659260841701"/>
      </right>
      <top/>
      <bottom style="thin">
        <color theme="3" tint="-0.24994659260841701"/>
      </bottom>
      <diagonal/>
    </border>
    <border>
      <left style="thin">
        <color theme="3" tint="-0.24994659260841701"/>
      </left>
      <right/>
      <top/>
      <bottom style="thin">
        <color theme="3" tint="-0.24994659260841701"/>
      </bottom>
      <diagonal/>
    </border>
    <border>
      <left/>
      <right style="thin">
        <color theme="3" tint="-0.24994659260841701"/>
      </right>
      <top style="thin">
        <color theme="3" tint="-0.24994659260841701"/>
      </top>
      <bottom style="thin">
        <color theme="3" tint="-0.24994659260841701"/>
      </bottom>
      <diagonal/>
    </border>
    <border>
      <left style="thin">
        <color theme="3" tint="-0.24994659260841701"/>
      </left>
      <right style="thin">
        <color theme="3" tint="-0.24994659260841701"/>
      </right>
      <top style="thin">
        <color theme="3" tint="-0.24994659260841701"/>
      </top>
      <bottom style="thin">
        <color theme="3" tint="-0.24994659260841701"/>
      </bottom>
      <diagonal/>
    </border>
    <border>
      <left style="thin">
        <color theme="3" tint="-0.24994659260841701"/>
      </left>
      <right/>
      <top style="thin">
        <color theme="3" tint="-0.24994659260841701"/>
      </top>
      <bottom style="thin">
        <color theme="3" tint="-0.24994659260841701"/>
      </bottom>
      <diagonal/>
    </border>
    <border>
      <left/>
      <right style="thin">
        <color theme="3" tint="-0.24994659260841701"/>
      </right>
      <top style="thin">
        <color theme="3" tint="-0.24994659260841701"/>
      </top>
      <bottom/>
      <diagonal/>
    </border>
    <border>
      <left style="thin">
        <color theme="3" tint="-0.24994659260841701"/>
      </left>
      <right/>
      <top style="thin">
        <color theme="3" tint="-0.24994659260841701"/>
      </top>
      <bottom/>
      <diagonal/>
    </border>
    <border>
      <left/>
      <right style="thin">
        <color theme="3" tint="-0.24994659260841701"/>
      </right>
      <top style="thin">
        <color theme="3" tint="-0.24994659260841701"/>
      </top>
      <bottom style="thin">
        <color auto="1"/>
      </bottom>
      <diagonal/>
    </border>
    <border>
      <left style="thin">
        <color theme="3" tint="-0.24994659260841701"/>
      </left>
      <right/>
      <top style="thin">
        <color theme="3" tint="-0.24994659260841701"/>
      </top>
      <bottom style="thin">
        <color auto="1"/>
      </bottom>
      <diagonal/>
    </border>
    <border>
      <left/>
      <right style="thin">
        <color theme="3" tint="-0.24994659260841701"/>
      </right>
      <top/>
      <bottom/>
      <diagonal/>
    </border>
    <border>
      <left/>
      <right style="thin">
        <color theme="3" tint="-0.24994659260841701"/>
      </right>
      <top/>
      <bottom style="thin">
        <color auto="1"/>
      </bottom>
      <diagonal/>
    </border>
    <border>
      <left style="thin">
        <color theme="3" tint="-0.24994659260841701"/>
      </left>
      <right style="thin">
        <color theme="3" tint="-0.24994659260841701"/>
      </right>
      <top/>
      <bottom/>
      <diagonal/>
    </border>
    <border>
      <left style="thin">
        <color theme="3" tint="-0.24994659260841701"/>
      </left>
      <right style="thin">
        <color theme="3" tint="-0.24994659260841701"/>
      </right>
      <top/>
      <bottom style="thin">
        <color auto="1"/>
      </bottom>
      <diagonal/>
    </border>
    <border>
      <left style="thin">
        <color theme="3" tint="-0.24994659260841701"/>
      </left>
      <right/>
      <top/>
      <bottom style="thin">
        <color auto="1"/>
      </bottom>
      <diagonal/>
    </border>
    <border>
      <left/>
      <right style="thin">
        <color theme="3" tint="-0.24994659260841701"/>
      </right>
      <top style="thin">
        <color theme="3" tint="-0.24994659260841701"/>
      </top>
      <bottom style="medium">
        <color theme="3" tint="-0.24994659260841701"/>
      </bottom>
      <diagonal/>
    </border>
    <border>
      <left style="thin">
        <color theme="3" tint="-0.24994659260841701"/>
      </left>
      <right style="thin">
        <color theme="3" tint="-0.24994659260841701"/>
      </right>
      <top style="thin">
        <color theme="3" tint="-0.24994659260841701"/>
      </top>
      <bottom style="medium">
        <color theme="3" tint="-0.24994659260841701"/>
      </bottom>
      <diagonal/>
    </border>
    <border>
      <left style="thin">
        <color theme="3" tint="-0.24994659260841701"/>
      </left>
      <right/>
      <top style="thin">
        <color theme="3" tint="-0.24994659260841701"/>
      </top>
      <bottom style="medium">
        <color theme="3" tint="-0.24994659260841701"/>
      </bottom>
      <diagonal/>
    </border>
    <border>
      <left style="thin">
        <color indexed="64"/>
      </left>
      <right/>
      <top/>
      <bottom style="medium">
        <color theme="3" tint="-0.24994659260841701"/>
      </bottom>
      <diagonal/>
    </border>
    <border>
      <left/>
      <right/>
      <top/>
      <bottom style="medium">
        <color theme="3" tint="-0.24994659260841701"/>
      </bottom>
      <diagonal/>
    </border>
    <border>
      <left/>
      <right style="thin">
        <color theme="3" tint="-0.24994659260841701"/>
      </right>
      <top/>
      <bottom style="medium">
        <color theme="3" tint="-0.24994659260841701"/>
      </bottom>
      <diagonal/>
    </border>
    <border>
      <left style="double">
        <color rgb="FF3F3F3F"/>
      </left>
      <right/>
      <top style="double">
        <color rgb="FF3F3F3F"/>
      </top>
      <bottom style="double">
        <color rgb="FF3F3F3F"/>
      </bottom>
      <diagonal/>
    </border>
  </borders>
  <cellStyleXfs count="7">
    <xf numFmtId="0" fontId="0" fillId="0" borderId="0"/>
    <xf numFmtId="164" fontId="1" fillId="0" borderId="0" applyFont="0" applyFill="0" applyBorder="0" applyAlignment="0" applyProtection="0"/>
    <xf numFmtId="9" fontId="1" fillId="0" borderId="0" applyFont="0" applyFill="0" applyBorder="0" applyAlignment="0" applyProtection="0"/>
    <xf numFmtId="0" fontId="4" fillId="0" borderId="0"/>
    <xf numFmtId="0" fontId="16" fillId="8" borderId="54" applyNumberFormat="0" applyAlignment="0" applyProtection="0"/>
    <xf numFmtId="0" fontId="17" fillId="9" borderId="55" applyNumberFormat="0" applyAlignment="0" applyProtection="0"/>
    <xf numFmtId="0" fontId="19" fillId="0" borderId="0"/>
  </cellStyleXfs>
  <cellXfs count="462">
    <xf numFmtId="0" fontId="0" fillId="0" borderId="0" xfId="0"/>
    <xf numFmtId="0" fontId="3" fillId="0" borderId="0" xfId="0" applyFont="1"/>
    <xf numFmtId="0" fontId="6" fillId="2" borderId="0" xfId="0" applyFont="1" applyFill="1" applyAlignment="1">
      <alignment vertical="center"/>
    </xf>
    <xf numFmtId="0" fontId="6" fillId="2" borderId="0" xfId="0" applyFont="1" applyFill="1" applyAlignment="1">
      <alignment horizontal="center" vertical="center"/>
    </xf>
    <xf numFmtId="4" fontId="6" fillId="2" borderId="0" xfId="0" applyNumberFormat="1" applyFont="1" applyFill="1" applyAlignment="1">
      <alignment horizontal="center"/>
    </xf>
    <xf numFmtId="2" fontId="7" fillId="2" borderId="0" xfId="0" applyNumberFormat="1" applyFont="1" applyFill="1" applyBorder="1" applyAlignment="1">
      <alignment horizontal="center" vertical="center"/>
    </xf>
    <xf numFmtId="0" fontId="7" fillId="2" borderId="0" xfId="0" applyFont="1" applyFill="1" applyAlignment="1">
      <alignment vertical="center"/>
    </xf>
    <xf numFmtId="0" fontId="7" fillId="2" borderId="0" xfId="0" applyFont="1" applyFill="1" applyAlignment="1">
      <alignment horizontal="center" vertical="center"/>
    </xf>
    <xf numFmtId="165" fontId="7" fillId="2" borderId="0" xfId="0" applyNumberFormat="1" applyFont="1" applyFill="1" applyAlignment="1">
      <alignment vertical="center"/>
    </xf>
    <xf numFmtId="165" fontId="7" fillId="2" borderId="0" xfId="0" applyNumberFormat="1" applyFont="1" applyFill="1" applyAlignment="1">
      <alignment horizontal="center" vertical="center"/>
    </xf>
    <xf numFmtId="0" fontId="7" fillId="2" borderId="5" xfId="0" applyFont="1" applyFill="1" applyBorder="1" applyAlignment="1">
      <alignment horizontal="center" vertical="center"/>
    </xf>
    <xf numFmtId="0" fontId="7" fillId="2" borderId="5" xfId="0" applyNumberFormat="1" applyFont="1" applyFill="1" applyBorder="1" applyAlignment="1">
      <alignment horizontal="center" vertical="center"/>
    </xf>
    <xf numFmtId="0" fontId="8" fillId="2" borderId="0" xfId="0" applyFont="1" applyFill="1" applyAlignment="1">
      <alignment vertical="center"/>
    </xf>
    <xf numFmtId="0" fontId="8" fillId="2" borderId="0" xfId="0" applyFont="1" applyFill="1" applyAlignment="1">
      <alignment horizontal="center" vertical="center"/>
    </xf>
    <xf numFmtId="0" fontId="8" fillId="2" borderId="0" xfId="0" applyFont="1" applyFill="1" applyBorder="1" applyAlignment="1">
      <alignment horizontal="center" vertical="center"/>
    </xf>
    <xf numFmtId="166" fontId="7" fillId="2" borderId="5" xfId="2" applyNumberFormat="1" applyFont="1" applyFill="1" applyBorder="1" applyAlignment="1">
      <alignment horizontal="center" vertical="center"/>
    </xf>
    <xf numFmtId="0" fontId="3" fillId="2" borderId="0" xfId="0" applyFont="1" applyFill="1"/>
    <xf numFmtId="0" fontId="8" fillId="2" borderId="0" xfId="0" applyFont="1" applyFill="1" applyBorder="1" applyAlignment="1">
      <alignment vertical="center"/>
    </xf>
    <xf numFmtId="0" fontId="7" fillId="2" borderId="0" xfId="0" applyFont="1" applyFill="1" applyBorder="1" applyAlignment="1">
      <alignment horizontal="center" vertical="center"/>
    </xf>
    <xf numFmtId="166" fontId="8" fillId="2" borderId="0" xfId="2" applyNumberFormat="1" applyFont="1" applyFill="1" applyAlignment="1">
      <alignment vertical="center"/>
    </xf>
    <xf numFmtId="3" fontId="8" fillId="2" borderId="0" xfId="0" applyNumberFormat="1" applyFont="1" applyFill="1" applyAlignment="1">
      <alignment vertical="center"/>
    </xf>
    <xf numFmtId="0" fontId="10" fillId="2" borderId="0" xfId="0" applyFont="1" applyFill="1" applyBorder="1" applyAlignment="1">
      <alignment horizontal="center" vertical="center" wrapText="1"/>
    </xf>
    <xf numFmtId="169" fontId="7" fillId="2" borderId="6" xfId="1" applyNumberFormat="1" applyFont="1" applyFill="1" applyBorder="1" applyAlignment="1">
      <alignment horizontal="center" vertical="center"/>
    </xf>
    <xf numFmtId="169" fontId="7" fillId="2" borderId="0" xfId="1" applyNumberFormat="1" applyFont="1" applyFill="1" applyBorder="1" applyAlignment="1">
      <alignment vertical="center"/>
    </xf>
    <xf numFmtId="3" fontId="8" fillId="2" borderId="0" xfId="0" applyNumberFormat="1" applyFont="1" applyFill="1" applyBorder="1" applyAlignment="1">
      <alignment vertical="center"/>
    </xf>
    <xf numFmtId="166" fontId="8" fillId="2" borderId="1" xfId="0" applyNumberFormat="1" applyFont="1" applyFill="1" applyBorder="1" applyAlignment="1">
      <alignment horizontal="center" vertical="center"/>
    </xf>
    <xf numFmtId="3" fontId="8" fillId="2" borderId="0" xfId="0" applyNumberFormat="1" applyFont="1" applyFill="1" applyBorder="1" applyAlignment="1">
      <alignment horizontal="center" vertical="center"/>
    </xf>
    <xf numFmtId="0" fontId="7" fillId="2" borderId="0" xfId="0" applyFont="1" applyFill="1" applyBorder="1" applyAlignment="1">
      <alignment horizontal="center" vertical="center" wrapText="1"/>
    </xf>
    <xf numFmtId="10" fontId="8" fillId="2" borderId="0" xfId="2" applyNumberFormat="1" applyFont="1" applyFill="1" applyAlignment="1">
      <alignment vertical="center"/>
    </xf>
    <xf numFmtId="4" fontId="3" fillId="2" borderId="0" xfId="0" applyNumberFormat="1" applyFont="1" applyFill="1"/>
    <xf numFmtId="169" fontId="8" fillId="2" borderId="0" xfId="0" applyNumberFormat="1" applyFont="1" applyFill="1" applyAlignment="1">
      <alignment horizontal="center" vertical="center"/>
    </xf>
    <xf numFmtId="0" fontId="7" fillId="0" borderId="7" xfId="0" applyFont="1" applyBorder="1" applyAlignment="1">
      <alignment vertical="center"/>
    </xf>
    <xf numFmtId="167" fontId="7" fillId="0" borderId="8" xfId="0" applyNumberFormat="1" applyFont="1" applyBorder="1" applyAlignment="1">
      <alignment horizontal="center" vertical="center"/>
    </xf>
    <xf numFmtId="166" fontId="7" fillId="0" borderId="9" xfId="0" applyNumberFormat="1" applyFont="1" applyBorder="1" applyAlignment="1">
      <alignment horizontal="center" vertical="center"/>
    </xf>
    <xf numFmtId="166" fontId="7" fillId="3" borderId="11" xfId="0" applyNumberFormat="1" applyFont="1" applyFill="1" applyBorder="1" applyAlignment="1">
      <alignment horizontal="center" vertical="center"/>
    </xf>
    <xf numFmtId="9" fontId="8" fillId="2" borderId="0" xfId="0" applyNumberFormat="1" applyFont="1" applyFill="1" applyBorder="1" applyAlignment="1">
      <alignment horizontal="center" vertical="center"/>
    </xf>
    <xf numFmtId="10" fontId="8" fillId="2" borderId="0" xfId="0" applyNumberFormat="1" applyFont="1" applyFill="1" applyBorder="1" applyAlignment="1">
      <alignment horizontal="center" vertical="center"/>
    </xf>
    <xf numFmtId="0" fontId="8" fillId="0" borderId="3" xfId="0" applyFont="1" applyBorder="1" applyAlignment="1">
      <alignment vertical="center"/>
    </xf>
    <xf numFmtId="0" fontId="8" fillId="2" borderId="0" xfId="0" quotePrefix="1" applyFont="1" applyFill="1" applyBorder="1" applyAlignment="1">
      <alignment horizontal="center" vertical="center"/>
    </xf>
    <xf numFmtId="166" fontId="8" fillId="0" borderId="12" xfId="0" applyNumberFormat="1" applyFont="1" applyBorder="1" applyAlignment="1">
      <alignment horizontal="center" vertical="center"/>
    </xf>
    <xf numFmtId="0" fontId="8" fillId="0" borderId="13" xfId="0" applyFont="1" applyBorder="1" applyAlignment="1">
      <alignment vertical="center"/>
    </xf>
    <xf numFmtId="166" fontId="8" fillId="0" borderId="15" xfId="0" applyNumberFormat="1" applyFont="1" applyBorder="1" applyAlignment="1">
      <alignment horizontal="center" vertical="center"/>
    </xf>
    <xf numFmtId="168" fontId="2" fillId="4" borderId="0" xfId="0" applyNumberFormat="1" applyFont="1" applyFill="1" applyBorder="1"/>
    <xf numFmtId="0" fontId="8" fillId="0" borderId="16" xfId="0" applyFont="1" applyBorder="1" applyAlignment="1">
      <alignment vertical="center"/>
    </xf>
    <xf numFmtId="166" fontId="8" fillId="0" borderId="18" xfId="0" applyNumberFormat="1" applyFont="1" applyBorder="1" applyAlignment="1">
      <alignment horizontal="center" vertical="center"/>
    </xf>
    <xf numFmtId="0" fontId="8" fillId="0" borderId="19" xfId="0" applyFont="1" applyBorder="1" applyAlignment="1">
      <alignment vertical="center"/>
    </xf>
    <xf numFmtId="166" fontId="8" fillId="0" borderId="21" xfId="0" applyNumberFormat="1" applyFont="1" applyBorder="1" applyAlignment="1">
      <alignment horizontal="center" vertical="center"/>
    </xf>
    <xf numFmtId="166" fontId="8" fillId="2" borderId="0" xfId="0" quotePrefix="1" applyNumberFormat="1" applyFont="1" applyFill="1" applyBorder="1" applyAlignment="1">
      <alignment horizontal="center" vertical="center"/>
    </xf>
    <xf numFmtId="166" fontId="8" fillId="2" borderId="0" xfId="0" applyNumberFormat="1" applyFont="1" applyFill="1" applyBorder="1" applyAlignment="1">
      <alignment horizontal="center" vertical="center"/>
    </xf>
    <xf numFmtId="4" fontId="8" fillId="2" borderId="0" xfId="0" applyNumberFormat="1" applyFont="1" applyFill="1" applyBorder="1" applyAlignment="1">
      <alignment horizontal="center" vertical="center"/>
    </xf>
    <xf numFmtId="0" fontId="12" fillId="0" borderId="22" xfId="0" applyFont="1" applyBorder="1" applyAlignment="1">
      <alignment horizontal="center" vertical="center" wrapText="1"/>
    </xf>
    <xf numFmtId="0" fontId="7" fillId="0" borderId="9" xfId="0" applyFont="1" applyBorder="1" applyAlignment="1">
      <alignment vertical="center"/>
    </xf>
    <xf numFmtId="166" fontId="12" fillId="2" borderId="22" xfId="0" applyNumberFormat="1" applyFont="1" applyFill="1" applyBorder="1" applyAlignment="1">
      <alignment horizontal="center" vertical="center"/>
    </xf>
    <xf numFmtId="166" fontId="7" fillId="5" borderId="8" xfId="0" applyNumberFormat="1" applyFont="1" applyFill="1" applyBorder="1" applyAlignment="1">
      <alignment horizontal="center" vertical="center"/>
    </xf>
    <xf numFmtId="10" fontId="7" fillId="0" borderId="9" xfId="0" applyNumberFormat="1" applyFont="1" applyBorder="1" applyAlignment="1">
      <alignment horizontal="center" vertical="center"/>
    </xf>
    <xf numFmtId="166" fontId="7" fillId="0" borderId="12" xfId="0" applyNumberFormat="1" applyFont="1" applyFill="1" applyBorder="1" applyAlignment="1">
      <alignment horizontal="center" vertical="center"/>
    </xf>
    <xf numFmtId="166" fontId="7" fillId="0" borderId="18" xfId="0" applyNumberFormat="1" applyFont="1" applyFill="1" applyBorder="1" applyAlignment="1">
      <alignment horizontal="center" vertical="center"/>
    </xf>
    <xf numFmtId="10" fontId="8" fillId="2" borderId="0" xfId="0" applyNumberFormat="1" applyFont="1" applyFill="1" applyAlignment="1">
      <alignment vertical="center"/>
    </xf>
    <xf numFmtId="0" fontId="8" fillId="0" borderId="23" xfId="0" applyFont="1" applyBorder="1" applyAlignment="1">
      <alignment vertical="center"/>
    </xf>
    <xf numFmtId="166" fontId="7" fillId="0" borderId="21" xfId="0" applyNumberFormat="1" applyFont="1" applyFill="1" applyBorder="1" applyAlignment="1">
      <alignment horizontal="center" vertical="center"/>
    </xf>
    <xf numFmtId="0" fontId="8" fillId="2" borderId="0" xfId="0" applyFont="1" applyFill="1" applyAlignment="1">
      <alignment horizontal="right" vertical="center"/>
    </xf>
    <xf numFmtId="14" fontId="8" fillId="2" borderId="0" xfId="0" applyNumberFormat="1" applyFont="1" applyFill="1" applyAlignment="1">
      <alignment vertical="center"/>
    </xf>
    <xf numFmtId="0" fontId="6" fillId="2" borderId="0" xfId="0" applyFont="1" applyFill="1" applyBorder="1" applyAlignment="1">
      <alignment vertical="center"/>
    </xf>
    <xf numFmtId="0" fontId="13" fillId="2" borderId="0" xfId="0" applyFont="1" applyFill="1" applyAlignment="1">
      <alignment vertical="center"/>
    </xf>
    <xf numFmtId="0" fontId="13" fillId="2" borderId="0" xfId="0" applyFont="1" applyFill="1" applyBorder="1" applyAlignment="1">
      <alignment vertical="center"/>
    </xf>
    <xf numFmtId="166" fontId="3" fillId="2" borderId="0" xfId="2" applyNumberFormat="1" applyFont="1" applyFill="1"/>
    <xf numFmtId="166" fontId="3" fillId="2" borderId="0" xfId="0" applyNumberFormat="1" applyFont="1" applyFill="1"/>
    <xf numFmtId="9" fontId="7" fillId="0" borderId="9" xfId="0" applyNumberFormat="1" applyFont="1" applyFill="1" applyBorder="1" applyAlignment="1">
      <alignment horizontal="center" vertical="center"/>
    </xf>
    <xf numFmtId="9" fontId="8" fillId="0" borderId="28" xfId="0" applyNumberFormat="1" applyFont="1" applyFill="1" applyBorder="1" applyAlignment="1">
      <alignment horizontal="center" vertical="center"/>
    </xf>
    <xf numFmtId="166" fontId="8" fillId="0" borderId="29" xfId="0" applyNumberFormat="1" applyFont="1" applyFill="1" applyBorder="1" applyAlignment="1">
      <alignment horizontal="center" vertical="center"/>
    </xf>
    <xf numFmtId="166" fontId="8" fillId="0" borderId="23" xfId="0" applyNumberFormat="1" applyFont="1" applyFill="1" applyBorder="1" applyAlignment="1">
      <alignment horizontal="center" vertical="center"/>
    </xf>
    <xf numFmtId="166" fontId="8" fillId="0" borderId="30" xfId="0" applyNumberFormat="1" applyFont="1" applyFill="1" applyBorder="1" applyAlignment="1">
      <alignment horizontal="center" vertical="center"/>
    </xf>
    <xf numFmtId="10" fontId="8" fillId="0" borderId="28" xfId="0" applyNumberFormat="1" applyFont="1" applyBorder="1" applyAlignment="1">
      <alignment horizontal="center" vertical="center"/>
    </xf>
    <xf numFmtId="10" fontId="8" fillId="0" borderId="23" xfId="0" applyNumberFormat="1" applyFont="1" applyBorder="1" applyAlignment="1">
      <alignment horizontal="center" vertical="center"/>
    </xf>
    <xf numFmtId="10" fontId="8" fillId="0" borderId="31" xfId="0" applyNumberFormat="1" applyFont="1" applyBorder="1" applyAlignment="1">
      <alignment horizontal="center" vertical="center"/>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4" xfId="0" applyFont="1" applyFill="1" applyBorder="1" applyAlignment="1">
      <alignment horizontal="center" vertical="center" wrapText="1"/>
    </xf>
    <xf numFmtId="0" fontId="7" fillId="0" borderId="9" xfId="0" applyFont="1" applyFill="1" applyBorder="1" applyAlignment="1">
      <alignment horizontal="center" vertical="center" wrapText="1"/>
    </xf>
    <xf numFmtId="168" fontId="7" fillId="0" borderId="7" xfId="0" applyNumberFormat="1" applyFont="1" applyFill="1" applyBorder="1" applyAlignment="1">
      <alignment horizontal="center" vertical="center"/>
    </xf>
    <xf numFmtId="3" fontId="7" fillId="0" borderId="4" xfId="0" applyNumberFormat="1" applyFont="1" applyFill="1" applyBorder="1" applyAlignment="1">
      <alignment horizontal="center" vertical="center"/>
    </xf>
    <xf numFmtId="167" fontId="7" fillId="0" borderId="4" xfId="0" applyNumberFormat="1" applyFont="1" applyFill="1" applyBorder="1" applyAlignment="1">
      <alignment horizontal="center" vertical="center"/>
    </xf>
    <xf numFmtId="0" fontId="9" fillId="4" borderId="5" xfId="0" applyFont="1" applyFill="1" applyBorder="1" applyAlignment="1">
      <alignment horizontal="center" vertical="center"/>
    </xf>
    <xf numFmtId="0" fontId="3" fillId="7" borderId="0" xfId="0" applyFont="1" applyFill="1" applyBorder="1"/>
    <xf numFmtId="0" fontId="8" fillId="7" borderId="0" xfId="0" applyFont="1" applyFill="1" applyAlignment="1">
      <alignment vertical="center"/>
    </xf>
    <xf numFmtId="0" fontId="8" fillId="7" borderId="0" xfId="0" applyFont="1" applyFill="1" applyBorder="1" applyAlignment="1">
      <alignment horizontal="center" vertical="center"/>
    </xf>
    <xf numFmtId="0" fontId="8" fillId="7" borderId="0" xfId="0" applyFont="1" applyFill="1" applyBorder="1" applyAlignment="1">
      <alignment vertical="center"/>
    </xf>
    <xf numFmtId="0" fontId="10" fillId="7" borderId="0" xfId="0" applyFont="1" applyFill="1" applyBorder="1" applyAlignment="1">
      <alignment horizontal="center" vertical="center" wrapText="1"/>
    </xf>
    <xf numFmtId="0" fontId="9" fillId="6" borderId="5" xfId="0" applyFont="1" applyFill="1" applyBorder="1" applyAlignment="1">
      <alignment vertical="center"/>
    </xf>
    <xf numFmtId="0" fontId="9" fillId="6" borderId="5" xfId="0" applyFont="1" applyFill="1" applyBorder="1" applyAlignment="1">
      <alignment horizontal="center" vertical="center"/>
    </xf>
    <xf numFmtId="0" fontId="9" fillId="7" borderId="0" xfId="0" applyFont="1" applyFill="1" applyBorder="1" applyAlignment="1">
      <alignment vertical="center"/>
    </xf>
    <xf numFmtId="0" fontId="8" fillId="7" borderId="0" xfId="0" applyFont="1" applyFill="1" applyBorder="1" applyAlignment="1">
      <alignment horizontal="left"/>
    </xf>
    <xf numFmtId="0" fontId="7" fillId="7" borderId="0" xfId="0" applyFont="1" applyFill="1" applyBorder="1" applyAlignment="1">
      <alignment horizontal="left"/>
    </xf>
    <xf numFmtId="10" fontId="17" fillId="9" borderId="55" xfId="5" applyNumberFormat="1" applyAlignment="1">
      <alignment horizontal="center" vertical="center"/>
    </xf>
    <xf numFmtId="168" fontId="16" fillId="8" borderId="54" xfId="4" applyNumberFormat="1" applyAlignment="1">
      <alignment horizontal="right"/>
    </xf>
    <xf numFmtId="0" fontId="16" fillId="8" borderId="54" xfId="4"/>
    <xf numFmtId="10" fontId="16" fillId="8" borderId="54" xfId="4" applyNumberFormat="1" applyAlignment="1">
      <alignment horizontal="center" vertical="center"/>
    </xf>
    <xf numFmtId="0" fontId="17" fillId="9" borderId="55" xfId="5" applyAlignment="1">
      <alignment vertical="center"/>
    </xf>
    <xf numFmtId="10" fontId="16" fillId="8" borderId="54" xfId="4" applyNumberFormat="1" applyAlignment="1">
      <alignment vertical="center"/>
    </xf>
    <xf numFmtId="10" fontId="17" fillId="9" borderId="55" xfId="5" applyNumberFormat="1" applyAlignment="1">
      <alignment vertical="center"/>
    </xf>
    <xf numFmtId="168" fontId="3" fillId="0" borderId="0" xfId="0" applyNumberFormat="1" applyFont="1"/>
    <xf numFmtId="44" fontId="0" fillId="0" borderId="0" xfId="1" applyNumberFormat="1" applyFont="1"/>
    <xf numFmtId="0" fontId="0" fillId="0" borderId="0" xfId="0" applyNumberFormat="1"/>
    <xf numFmtId="44" fontId="0" fillId="0" borderId="0" xfId="0" applyNumberFormat="1"/>
    <xf numFmtId="0" fontId="0" fillId="0" borderId="0" xfId="1" applyNumberFormat="1" applyFont="1"/>
    <xf numFmtId="0" fontId="8" fillId="2" borderId="58" xfId="0" applyFont="1" applyFill="1" applyBorder="1" applyAlignment="1">
      <alignment horizontal="center" vertical="center"/>
    </xf>
    <xf numFmtId="0" fontId="8" fillId="7" borderId="58" xfId="0" applyFont="1" applyFill="1" applyBorder="1" applyAlignment="1">
      <alignment horizontal="center" vertical="center"/>
    </xf>
    <xf numFmtId="0" fontId="8" fillId="2" borderId="58" xfId="0" applyFont="1" applyFill="1" applyBorder="1" applyAlignment="1">
      <alignment vertical="center"/>
    </xf>
    <xf numFmtId="168" fontId="3" fillId="7" borderId="0" xfId="0" applyNumberFormat="1" applyFont="1" applyFill="1"/>
    <xf numFmtId="0" fontId="7" fillId="0" borderId="59" xfId="0" applyFont="1" applyFill="1" applyBorder="1" applyAlignment="1">
      <alignment horizontal="center" vertical="center"/>
    </xf>
    <xf numFmtId="0" fontId="8" fillId="4" borderId="5" xfId="0" applyFont="1" applyFill="1" applyBorder="1" applyAlignment="1">
      <alignment horizontal="center" vertical="center"/>
    </xf>
    <xf numFmtId="0" fontId="8" fillId="2" borderId="5" xfId="0" applyNumberFormat="1" applyFont="1" applyFill="1" applyBorder="1" applyAlignment="1">
      <alignment horizontal="center" vertical="center"/>
    </xf>
    <xf numFmtId="0" fontId="21" fillId="2" borderId="0" xfId="0" applyFont="1" applyFill="1" applyAlignment="1">
      <alignment vertical="center"/>
    </xf>
    <xf numFmtId="3" fontId="7" fillId="0" borderId="60" xfId="0" applyNumberFormat="1" applyFont="1" applyFill="1" applyBorder="1" applyAlignment="1">
      <alignment horizontal="center" vertical="center"/>
    </xf>
    <xf numFmtId="167" fontId="7" fillId="0" borderId="60" xfId="0" applyNumberFormat="1" applyFont="1" applyFill="1" applyBorder="1" applyAlignment="1">
      <alignment horizontal="center" vertical="center"/>
    </xf>
    <xf numFmtId="0" fontId="0" fillId="2" borderId="0" xfId="0" applyFill="1"/>
    <xf numFmtId="165" fontId="21" fillId="2" borderId="0" xfId="0" applyNumberFormat="1" applyFont="1" applyFill="1" applyAlignment="1">
      <alignment vertical="center"/>
    </xf>
    <xf numFmtId="0" fontId="5" fillId="2" borderId="0" xfId="0" applyFont="1" applyFill="1" applyAlignment="1">
      <alignment vertical="center"/>
    </xf>
    <xf numFmtId="0" fontId="5" fillId="2" borderId="22" xfId="0" applyFont="1" applyFill="1" applyBorder="1" applyAlignment="1">
      <alignment vertical="center"/>
    </xf>
    <xf numFmtId="0" fontId="5" fillId="2" borderId="0" xfId="0" applyFont="1" applyFill="1" applyBorder="1" applyAlignment="1">
      <alignment vertical="center"/>
    </xf>
    <xf numFmtId="0" fontId="5" fillId="2" borderId="61" xfId="0" applyFont="1" applyFill="1" applyBorder="1" applyAlignment="1">
      <alignment vertical="center"/>
    </xf>
    <xf numFmtId="0" fontId="7" fillId="0" borderId="11"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5" fillId="2" borderId="0" xfId="0" applyFont="1" applyFill="1" applyAlignment="1">
      <alignment horizontal="center" vertical="center"/>
    </xf>
    <xf numFmtId="9" fontId="7" fillId="0" borderId="10" xfId="0" applyNumberFormat="1" applyFont="1" applyFill="1" applyBorder="1" applyAlignment="1">
      <alignment horizontal="center" vertical="center"/>
    </xf>
    <xf numFmtId="9" fontId="8" fillId="0" borderId="12" xfId="0" applyNumberFormat="1" applyFont="1" applyFill="1" applyBorder="1" applyAlignment="1">
      <alignment horizontal="center" vertical="center"/>
    </xf>
    <xf numFmtId="168" fontId="22" fillId="2" borderId="0" xfId="0" applyNumberFormat="1" applyFont="1" applyFill="1" applyBorder="1"/>
    <xf numFmtId="166" fontId="8" fillId="0" borderId="14" xfId="0" applyNumberFormat="1" applyFont="1" applyFill="1" applyBorder="1" applyAlignment="1">
      <alignment horizontal="center" vertical="center"/>
    </xf>
    <xf numFmtId="166" fontId="8" fillId="0" borderId="17" xfId="0" applyNumberFormat="1" applyFont="1" applyFill="1" applyBorder="1" applyAlignment="1">
      <alignment horizontal="center" vertical="center"/>
    </xf>
    <xf numFmtId="166" fontId="8" fillId="0" borderId="20" xfId="0" applyNumberFormat="1" applyFont="1" applyFill="1" applyBorder="1" applyAlignment="1">
      <alignment horizontal="center" vertical="center"/>
    </xf>
    <xf numFmtId="166" fontId="7" fillId="5" borderId="24" xfId="0" applyNumberFormat="1" applyFont="1" applyFill="1" applyBorder="1" applyAlignment="1">
      <alignment horizontal="center" vertical="center"/>
    </xf>
    <xf numFmtId="10" fontId="7" fillId="0" borderId="10" xfId="0" applyNumberFormat="1" applyFont="1" applyBorder="1" applyAlignment="1">
      <alignment horizontal="center" vertical="center"/>
    </xf>
    <xf numFmtId="0" fontId="7" fillId="0" borderId="44" xfId="0" applyFont="1" applyBorder="1" applyAlignment="1">
      <alignment vertical="center"/>
    </xf>
    <xf numFmtId="166" fontId="7" fillId="5" borderId="12" xfId="0" applyNumberFormat="1" applyFont="1" applyFill="1" applyBorder="1" applyAlignment="1">
      <alignment horizontal="center" vertical="center"/>
    </xf>
    <xf numFmtId="10" fontId="8" fillId="0" borderId="12" xfId="0" applyNumberFormat="1" applyFont="1" applyBorder="1" applyAlignment="1">
      <alignment horizontal="center" vertical="center"/>
    </xf>
    <xf numFmtId="10" fontId="8" fillId="0" borderId="18" xfId="0" applyNumberFormat="1" applyFont="1" applyBorder="1" applyAlignment="1">
      <alignment horizontal="center" vertical="center"/>
    </xf>
    <xf numFmtId="10" fontId="8" fillId="0" borderId="43" xfId="0" applyNumberFormat="1" applyFont="1" applyBorder="1" applyAlignment="1">
      <alignment horizontal="center" vertical="center"/>
    </xf>
    <xf numFmtId="0" fontId="5" fillId="2" borderId="0" xfId="0" applyFont="1" applyFill="1" applyBorder="1" applyAlignment="1">
      <alignment horizontal="center" vertical="center"/>
    </xf>
    <xf numFmtId="166" fontId="5" fillId="2" borderId="0" xfId="0" quotePrefix="1" applyNumberFormat="1" applyFont="1" applyFill="1" applyBorder="1" applyAlignment="1">
      <alignment horizontal="center" vertical="center"/>
    </xf>
    <xf numFmtId="3" fontId="5" fillId="2" borderId="0" xfId="0" applyNumberFormat="1" applyFont="1" applyFill="1" applyBorder="1" applyAlignment="1">
      <alignment horizontal="center" vertical="center"/>
    </xf>
    <xf numFmtId="166" fontId="5" fillId="2" borderId="0" xfId="0" applyNumberFormat="1" applyFont="1" applyFill="1" applyBorder="1" applyAlignment="1">
      <alignment horizontal="center" vertical="center"/>
    </xf>
    <xf numFmtId="4" fontId="5" fillId="2" borderId="0" xfId="0" applyNumberFormat="1" applyFont="1" applyFill="1" applyBorder="1" applyAlignment="1">
      <alignment horizontal="center" vertical="center"/>
    </xf>
    <xf numFmtId="49" fontId="7" fillId="0" borderId="0" xfId="0" applyNumberFormat="1" applyFont="1" applyFill="1" applyBorder="1" applyAlignment="1">
      <alignment vertical="center"/>
    </xf>
    <xf numFmtId="49" fontId="7" fillId="0" borderId="5" xfId="0" applyNumberFormat="1" applyFont="1" applyFill="1" applyBorder="1" applyAlignment="1">
      <alignment vertical="center"/>
    </xf>
    <xf numFmtId="0" fontId="7" fillId="7" borderId="0" xfId="0" applyFont="1" applyFill="1" applyBorder="1" applyAlignment="1">
      <alignment horizontal="center" vertical="center"/>
    </xf>
    <xf numFmtId="167" fontId="7" fillId="7" borderId="0" xfId="0" applyNumberFormat="1" applyFont="1" applyFill="1" applyBorder="1" applyAlignment="1">
      <alignment horizontal="center" vertical="center"/>
    </xf>
    <xf numFmtId="0" fontId="9" fillId="7" borderId="0" xfId="0" applyFont="1" applyFill="1" applyBorder="1" applyAlignment="1">
      <alignment horizontal="center" vertical="center"/>
    </xf>
    <xf numFmtId="166" fontId="7" fillId="7" borderId="0" xfId="2" applyNumberFormat="1" applyFont="1" applyFill="1" applyBorder="1" applyAlignment="1">
      <alignment horizontal="center" vertical="center"/>
    </xf>
    <xf numFmtId="3" fontId="8" fillId="7" borderId="0" xfId="0" applyNumberFormat="1" applyFont="1" applyFill="1" applyBorder="1" applyAlignment="1">
      <alignment vertical="center"/>
    </xf>
    <xf numFmtId="166" fontId="8" fillId="7" borderId="0" xfId="0" applyNumberFormat="1" applyFont="1" applyFill="1" applyBorder="1" applyAlignment="1">
      <alignment horizontal="center" vertical="center"/>
    </xf>
    <xf numFmtId="0" fontId="7" fillId="7" borderId="0" xfId="0" applyFont="1" applyFill="1" applyBorder="1" applyAlignment="1">
      <alignment horizontal="center" vertical="center" wrapText="1"/>
    </xf>
    <xf numFmtId="3" fontId="7" fillId="7" borderId="0" xfId="0" applyNumberFormat="1" applyFont="1" applyFill="1" applyBorder="1" applyAlignment="1">
      <alignment horizontal="right" vertical="center" indent="5"/>
    </xf>
    <xf numFmtId="3" fontId="8" fillId="7" borderId="0" xfId="0" applyNumberFormat="1" applyFont="1" applyFill="1" applyBorder="1" applyAlignment="1">
      <alignment horizontal="right" vertical="center" indent="5"/>
    </xf>
    <xf numFmtId="4" fontId="8" fillId="7" borderId="0" xfId="0" applyNumberFormat="1" applyFont="1" applyFill="1" applyBorder="1" applyAlignment="1">
      <alignment horizontal="center" vertical="center"/>
    </xf>
    <xf numFmtId="4" fontId="5" fillId="7" borderId="0" xfId="0" applyNumberFormat="1" applyFont="1" applyFill="1" applyBorder="1" applyAlignment="1">
      <alignment horizontal="center" vertical="center"/>
    </xf>
    <xf numFmtId="0" fontId="5" fillId="7" borderId="0" xfId="0" applyFont="1" applyFill="1" applyBorder="1" applyAlignment="1">
      <alignment vertical="center"/>
    </xf>
    <xf numFmtId="0" fontId="20" fillId="2" borderId="35" xfId="0" applyFont="1" applyFill="1" applyBorder="1" applyAlignment="1">
      <alignment horizontal="center" vertical="center"/>
    </xf>
    <xf numFmtId="166" fontId="8" fillId="2" borderId="35" xfId="2" applyNumberFormat="1" applyFont="1" applyFill="1" applyBorder="1" applyAlignment="1">
      <alignment horizontal="center" vertical="center"/>
    </xf>
    <xf numFmtId="0" fontId="3" fillId="0" borderId="0" xfId="0" applyNumberFormat="1" applyFont="1"/>
    <xf numFmtId="0" fontId="7" fillId="0" borderId="7" xfId="0" applyNumberFormat="1" applyFont="1" applyFill="1" applyBorder="1" applyAlignment="1">
      <alignment horizontal="center" vertical="center"/>
    </xf>
    <xf numFmtId="49" fontId="7" fillId="7" borderId="0" xfId="0" applyNumberFormat="1" applyFont="1" applyFill="1" applyBorder="1" applyAlignment="1">
      <alignment vertical="center"/>
    </xf>
    <xf numFmtId="0" fontId="6" fillId="7" borderId="0" xfId="0" applyFont="1" applyFill="1" applyBorder="1" applyAlignment="1">
      <alignment vertical="center"/>
    </xf>
    <xf numFmtId="168" fontId="7" fillId="7" borderId="0" xfId="0" applyNumberFormat="1" applyFont="1" applyFill="1" applyBorder="1" applyAlignment="1">
      <alignment horizontal="center" vertical="center"/>
    </xf>
    <xf numFmtId="0" fontId="6" fillId="7" borderId="0" xfId="0" applyFont="1" applyFill="1" applyBorder="1" applyAlignment="1">
      <alignment horizontal="center" vertical="center"/>
    </xf>
    <xf numFmtId="0" fontId="7" fillId="5" borderId="7" xfId="0" applyFont="1" applyFill="1" applyBorder="1" applyAlignment="1">
      <alignment horizontal="center" vertical="center" wrapText="1"/>
    </xf>
    <xf numFmtId="0" fontId="10" fillId="6" borderId="7"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11" fillId="6" borderId="7" xfId="0" applyFont="1" applyFill="1" applyBorder="1" applyAlignment="1">
      <alignment horizontal="center" vertical="center" wrapText="1"/>
    </xf>
    <xf numFmtId="168" fontId="8" fillId="2" borderId="0" xfId="0" applyNumberFormat="1" applyFont="1" applyFill="1" applyAlignment="1">
      <alignment horizontal="center" vertical="center"/>
    </xf>
    <xf numFmtId="44" fontId="8" fillId="2" borderId="0" xfId="0" applyNumberFormat="1" applyFont="1" applyFill="1" applyBorder="1" applyAlignment="1">
      <alignment horizontal="center" vertical="center"/>
    </xf>
    <xf numFmtId="44" fontId="7" fillId="0" borderId="24" xfId="0" applyNumberFormat="1" applyFont="1" applyFill="1" applyBorder="1" applyAlignment="1">
      <alignment horizontal="center" vertical="center" wrapText="1"/>
    </xf>
    <xf numFmtId="44" fontId="7" fillId="0" borderId="1" xfId="0" applyNumberFormat="1" applyFont="1" applyFill="1" applyBorder="1" applyAlignment="1">
      <alignment horizontal="center" vertical="center"/>
    </xf>
    <xf numFmtId="0" fontId="9" fillId="4" borderId="5" xfId="0" applyNumberFormat="1" applyFont="1" applyFill="1" applyBorder="1" applyAlignment="1">
      <alignment vertical="center"/>
    </xf>
    <xf numFmtId="49" fontId="10" fillId="6" borderId="35" xfId="0" applyNumberFormat="1" applyFont="1" applyFill="1" applyBorder="1" applyAlignment="1">
      <alignment horizontal="center" vertical="center" wrapText="1"/>
    </xf>
    <xf numFmtId="49" fontId="11" fillId="6" borderId="35" xfId="0" applyNumberFormat="1" applyFont="1" applyFill="1" applyBorder="1" applyAlignment="1">
      <alignment horizontal="center" vertical="center" wrapText="1"/>
    </xf>
    <xf numFmtId="49" fontId="7" fillId="3" borderId="35" xfId="0" applyNumberFormat="1" applyFont="1" applyFill="1" applyBorder="1" applyAlignment="1">
      <alignment horizontal="center" vertical="center"/>
    </xf>
    <xf numFmtId="49" fontId="7" fillId="5" borderId="35" xfId="0" applyNumberFormat="1" applyFont="1" applyFill="1" applyBorder="1" applyAlignment="1">
      <alignment horizontal="center" vertical="center"/>
    </xf>
    <xf numFmtId="0" fontId="8" fillId="0" borderId="13" xfId="0" quotePrefix="1" applyFont="1" applyBorder="1" applyAlignment="1">
      <alignment vertical="center"/>
    </xf>
    <xf numFmtId="0" fontId="8" fillId="2" borderId="0" xfId="0" applyFont="1" applyFill="1" applyAlignment="1">
      <alignment horizontal="left" vertical="center"/>
    </xf>
    <xf numFmtId="168" fontId="2" fillId="0" borderId="0" xfId="0" applyNumberFormat="1" applyFont="1"/>
    <xf numFmtId="170" fontId="7" fillId="3" borderId="10" xfId="0" applyNumberFormat="1" applyFont="1" applyFill="1" applyBorder="1" applyAlignment="1">
      <alignment horizontal="center" vertical="center"/>
    </xf>
    <xf numFmtId="170" fontId="7" fillId="5" borderId="10" xfId="1" applyNumberFormat="1" applyFont="1" applyFill="1" applyBorder="1" applyAlignment="1">
      <alignment horizontal="center" vertical="center"/>
    </xf>
    <xf numFmtId="168" fontId="3" fillId="0" borderId="0" xfId="0" applyNumberFormat="1" applyFont="1" applyFill="1"/>
    <xf numFmtId="166" fontId="8" fillId="7" borderId="0" xfId="0" quotePrefix="1" applyNumberFormat="1" applyFont="1" applyFill="1" applyBorder="1" applyAlignment="1">
      <alignment horizontal="center" vertical="center"/>
    </xf>
    <xf numFmtId="44" fontId="8" fillId="7" borderId="0" xfId="0" applyNumberFormat="1" applyFont="1" applyFill="1" applyBorder="1" applyAlignment="1">
      <alignment horizontal="center" vertical="center"/>
    </xf>
    <xf numFmtId="9" fontId="8" fillId="7" borderId="0" xfId="0" applyNumberFormat="1" applyFont="1" applyFill="1" applyBorder="1" applyAlignment="1">
      <alignment horizontal="center" vertical="center"/>
    </xf>
    <xf numFmtId="10" fontId="8" fillId="7" borderId="0" xfId="0" applyNumberFormat="1" applyFont="1" applyFill="1" applyBorder="1" applyAlignment="1">
      <alignment horizontal="center" vertical="center"/>
    </xf>
    <xf numFmtId="170" fontId="7" fillId="0" borderId="11" xfId="0" applyNumberFormat="1" applyFont="1" applyBorder="1" applyAlignment="1">
      <alignment horizontal="center" vertical="center"/>
    </xf>
    <xf numFmtId="170" fontId="7" fillId="0" borderId="24" xfId="0" applyNumberFormat="1" applyFont="1" applyFill="1" applyBorder="1" applyAlignment="1">
      <alignment horizontal="center" vertical="center"/>
    </xf>
    <xf numFmtId="170" fontId="8" fillId="0" borderId="25" xfId="0" applyNumberFormat="1" applyFont="1" applyBorder="1" applyAlignment="1">
      <alignment horizontal="center" vertical="center"/>
    </xf>
    <xf numFmtId="170" fontId="8" fillId="0" borderId="26" xfId="0" applyNumberFormat="1" applyFont="1" applyBorder="1" applyAlignment="1">
      <alignment horizontal="center" vertical="center"/>
    </xf>
    <xf numFmtId="170" fontId="8" fillId="0" borderId="27" xfId="0" applyNumberFormat="1" applyFont="1" applyBorder="1" applyAlignment="1">
      <alignment horizontal="center" vertical="center"/>
    </xf>
    <xf numFmtId="170" fontId="8" fillId="0" borderId="12" xfId="0" applyNumberFormat="1" applyFont="1" applyBorder="1" applyAlignment="1">
      <alignment horizontal="center" vertical="center"/>
    </xf>
    <xf numFmtId="170" fontId="8" fillId="0" borderId="14" xfId="0" applyNumberFormat="1" applyFont="1" applyBorder="1" applyAlignment="1">
      <alignment horizontal="center" vertical="center"/>
    </xf>
    <xf numFmtId="170" fontId="8" fillId="0" borderId="17" xfId="0" applyNumberFormat="1" applyFont="1" applyBorder="1" applyAlignment="1">
      <alignment horizontal="center" vertical="center"/>
    </xf>
    <xf numFmtId="170" fontId="8" fillId="0" borderId="20" xfId="0" applyNumberFormat="1" applyFont="1" applyBorder="1" applyAlignment="1">
      <alignment horizontal="center" vertical="center"/>
    </xf>
    <xf numFmtId="170" fontId="8" fillId="0" borderId="12" xfId="1" applyNumberFormat="1" applyFont="1" applyFill="1" applyBorder="1" applyAlignment="1">
      <alignment horizontal="center" vertical="center"/>
    </xf>
    <xf numFmtId="170" fontId="8" fillId="0" borderId="18" xfId="1" applyNumberFormat="1" applyFont="1" applyFill="1" applyBorder="1" applyAlignment="1">
      <alignment horizontal="center" vertical="center"/>
    </xf>
    <xf numFmtId="170" fontId="8" fillId="0" borderId="21" xfId="1" applyNumberFormat="1" applyFont="1" applyFill="1" applyBorder="1" applyAlignment="1">
      <alignment horizontal="center" vertical="center"/>
    </xf>
    <xf numFmtId="170" fontId="8" fillId="0" borderId="25" xfId="0" applyNumberFormat="1" applyFont="1" applyFill="1" applyBorder="1" applyAlignment="1">
      <alignment horizontal="center" vertical="center"/>
    </xf>
    <xf numFmtId="170" fontId="8" fillId="0" borderId="26" xfId="0" applyNumberFormat="1" applyFont="1" applyFill="1" applyBorder="1" applyAlignment="1">
      <alignment horizontal="center" vertical="center"/>
    </xf>
    <xf numFmtId="170" fontId="8" fillId="0" borderId="27" xfId="0" applyNumberFormat="1" applyFont="1" applyFill="1" applyBorder="1" applyAlignment="1">
      <alignment horizontal="center" vertical="center"/>
    </xf>
    <xf numFmtId="169" fontId="7" fillId="2" borderId="0" xfId="1" applyNumberFormat="1" applyFont="1" applyFill="1" applyBorder="1" applyAlignment="1">
      <alignment horizontal="center" vertical="center"/>
    </xf>
    <xf numFmtId="169" fontId="7" fillId="2" borderId="63" xfId="1" applyNumberFormat="1" applyFont="1" applyFill="1" applyBorder="1" applyAlignment="1">
      <alignment horizontal="center" vertical="center"/>
    </xf>
    <xf numFmtId="169" fontId="7" fillId="2" borderId="64" xfId="1" applyNumberFormat="1" applyFont="1" applyFill="1" applyBorder="1" applyAlignment="1">
      <alignment horizontal="center" vertical="center"/>
    </xf>
    <xf numFmtId="169" fontId="7" fillId="2" borderId="52" xfId="1" applyNumberFormat="1" applyFont="1" applyFill="1" applyBorder="1" applyAlignment="1">
      <alignment horizontal="center" vertical="center"/>
    </xf>
    <xf numFmtId="169" fontId="7" fillId="2" borderId="53" xfId="1" applyNumberFormat="1" applyFont="1" applyFill="1" applyBorder="1" applyAlignment="1">
      <alignment horizontal="center" vertical="center"/>
    </xf>
    <xf numFmtId="170" fontId="7" fillId="3" borderId="10" xfId="1" applyNumberFormat="1" applyFont="1" applyFill="1" applyBorder="1" applyAlignment="1">
      <alignment horizontal="center" vertical="center"/>
    </xf>
    <xf numFmtId="170" fontId="7" fillId="0" borderId="11" xfId="1" applyNumberFormat="1" applyFont="1" applyBorder="1" applyAlignment="1">
      <alignment horizontal="center" vertical="center"/>
    </xf>
    <xf numFmtId="170" fontId="8" fillId="0" borderId="14" xfId="1" applyNumberFormat="1" applyFont="1" applyBorder="1" applyAlignment="1">
      <alignment horizontal="center" vertical="center"/>
    </xf>
    <xf numFmtId="170" fontId="8" fillId="0" borderId="17" xfId="1" applyNumberFormat="1" applyFont="1" applyBorder="1" applyAlignment="1">
      <alignment horizontal="center" vertical="center"/>
    </xf>
    <xf numFmtId="170" fontId="8" fillId="0" borderId="20" xfId="1" applyNumberFormat="1" applyFont="1" applyBorder="1" applyAlignment="1">
      <alignment horizontal="center" vertical="center"/>
    </xf>
    <xf numFmtId="170" fontId="7" fillId="0" borderId="11" xfId="0" applyNumberFormat="1" applyFont="1" applyFill="1" applyBorder="1" applyAlignment="1">
      <alignment horizontal="center" vertical="center"/>
    </xf>
    <xf numFmtId="170" fontId="8" fillId="0" borderId="18" xfId="0" applyNumberFormat="1" applyFont="1" applyBorder="1" applyAlignment="1">
      <alignment horizontal="center" vertical="center"/>
    </xf>
    <xf numFmtId="170" fontId="8" fillId="0" borderId="21" xfId="0" applyNumberFormat="1" applyFont="1" applyBorder="1" applyAlignment="1">
      <alignment horizontal="center" vertical="center"/>
    </xf>
    <xf numFmtId="170" fontId="7" fillId="5" borderId="10" xfId="0" applyNumberFormat="1" applyFont="1" applyFill="1" applyBorder="1" applyAlignment="1">
      <alignment horizontal="center" vertical="center"/>
    </xf>
    <xf numFmtId="170" fontId="7" fillId="5" borderId="11" xfId="0" applyNumberFormat="1" applyFont="1" applyFill="1" applyBorder="1" applyAlignment="1">
      <alignment horizontal="center" vertical="center"/>
    </xf>
    <xf numFmtId="170" fontId="8" fillId="0" borderId="62" xfId="0" applyNumberFormat="1" applyFont="1" applyFill="1" applyBorder="1" applyAlignment="1">
      <alignment horizontal="center" vertical="center"/>
    </xf>
    <xf numFmtId="170" fontId="8" fillId="0" borderId="17" xfId="0" applyNumberFormat="1" applyFont="1" applyFill="1" applyBorder="1" applyAlignment="1">
      <alignment horizontal="center" vertical="center"/>
    </xf>
    <xf numFmtId="170" fontId="8" fillId="0" borderId="20" xfId="0" applyNumberFormat="1" applyFont="1" applyFill="1" applyBorder="1" applyAlignment="1">
      <alignment horizontal="center" vertical="center"/>
    </xf>
    <xf numFmtId="44" fontId="8" fillId="0" borderId="12" xfId="0" applyNumberFormat="1" applyFont="1" applyFill="1" applyBorder="1" applyAlignment="1">
      <alignment horizontal="center" vertical="center"/>
    </xf>
    <xf numFmtId="44" fontId="8" fillId="0" borderId="18" xfId="0" applyNumberFormat="1" applyFont="1" applyFill="1" applyBorder="1" applyAlignment="1">
      <alignment horizontal="center" vertical="center"/>
    </xf>
    <xf numFmtId="44" fontId="8" fillId="0" borderId="21" xfId="0" applyNumberFormat="1" applyFont="1" applyFill="1" applyBorder="1" applyAlignment="1">
      <alignment horizontal="center" vertical="center"/>
    </xf>
    <xf numFmtId="168" fontId="2" fillId="4" borderId="0" xfId="0" applyNumberFormat="1" applyFont="1" applyFill="1" applyBorder="1" applyAlignment="1">
      <alignment vertical="center"/>
    </xf>
    <xf numFmtId="170" fontId="7" fillId="5" borderId="11" xfId="1" applyNumberFormat="1" applyFont="1" applyFill="1" applyBorder="1" applyAlignment="1">
      <alignment horizontal="center" vertical="center"/>
    </xf>
    <xf numFmtId="171" fontId="17" fillId="9" borderId="55" xfId="5" applyNumberFormat="1" applyAlignment="1">
      <alignment vertical="center"/>
    </xf>
    <xf numFmtId="5" fontId="16" fillId="8" borderId="54" xfId="4" applyNumberFormat="1" applyAlignment="1">
      <alignment vertical="center"/>
    </xf>
    <xf numFmtId="5" fontId="17" fillId="9" borderId="55" xfId="5" applyNumberFormat="1" applyAlignment="1">
      <alignment vertical="center"/>
    </xf>
    <xf numFmtId="0" fontId="7" fillId="7" borderId="0" xfId="0" applyFont="1" applyFill="1" applyBorder="1" applyAlignment="1">
      <alignment horizontal="center" vertical="center"/>
    </xf>
    <xf numFmtId="171" fontId="23" fillId="7" borderId="0" xfId="1" applyNumberFormat="1" applyFont="1" applyFill="1" applyBorder="1" applyAlignment="1">
      <alignment horizontal="center" vertical="center"/>
    </xf>
    <xf numFmtId="169" fontId="7" fillId="7" borderId="0" xfId="1" applyNumberFormat="1" applyFont="1" applyFill="1" applyBorder="1" applyAlignment="1">
      <alignment horizontal="center" vertical="center"/>
    </xf>
    <xf numFmtId="169" fontId="7" fillId="7" borderId="0" xfId="1" applyNumberFormat="1" applyFont="1" applyFill="1" applyBorder="1" applyAlignment="1">
      <alignment vertical="center"/>
    </xf>
    <xf numFmtId="0" fontId="8" fillId="7" borderId="0" xfId="0" applyFont="1" applyFill="1" applyAlignment="1">
      <alignment horizontal="center" vertical="center"/>
    </xf>
    <xf numFmtId="0" fontId="3" fillId="7" borderId="0" xfId="0" applyFont="1" applyFill="1"/>
    <xf numFmtId="0" fontId="1" fillId="0" borderId="0" xfId="0" applyFont="1"/>
    <xf numFmtId="0" fontId="3" fillId="0" borderId="0" xfId="0" applyFont="1" applyAlignment="1">
      <alignment horizontal="left"/>
    </xf>
    <xf numFmtId="0" fontId="18" fillId="0" borderId="0" xfId="0" applyFont="1" applyAlignment="1"/>
    <xf numFmtId="0" fontId="3" fillId="10" borderId="68" xfId="0" applyFont="1" applyFill="1" applyBorder="1"/>
    <xf numFmtId="0" fontId="3" fillId="10" borderId="6" xfId="0" applyFont="1" applyFill="1" applyBorder="1"/>
    <xf numFmtId="0" fontId="3" fillId="10" borderId="69" xfId="0" applyFont="1" applyFill="1" applyBorder="1"/>
    <xf numFmtId="0" fontId="3" fillId="10" borderId="61" xfId="0" applyFont="1" applyFill="1" applyBorder="1"/>
    <xf numFmtId="0" fontId="3" fillId="10" borderId="0" xfId="0" applyFont="1" applyFill="1" applyBorder="1"/>
    <xf numFmtId="0" fontId="3" fillId="10" borderId="22" xfId="0" applyFont="1" applyFill="1" applyBorder="1"/>
    <xf numFmtId="0" fontId="24" fillId="10" borderId="0" xfId="0" applyFont="1" applyFill="1" applyBorder="1"/>
    <xf numFmtId="0" fontId="3" fillId="10" borderId="19" xfId="0" applyFont="1" applyFill="1" applyBorder="1"/>
    <xf numFmtId="0" fontId="3" fillId="10" borderId="1" xfId="0" applyFont="1" applyFill="1" applyBorder="1"/>
    <xf numFmtId="0" fontId="3" fillId="10" borderId="48" xfId="0" applyFont="1" applyFill="1" applyBorder="1"/>
    <xf numFmtId="0" fontId="3" fillId="7" borderId="0" xfId="0" applyFont="1" applyFill="1" applyBorder="1" applyAlignment="1">
      <alignment horizontal="left"/>
    </xf>
    <xf numFmtId="0" fontId="24" fillId="10" borderId="0" xfId="0" applyFont="1" applyFill="1" applyBorder="1" applyAlignment="1">
      <alignment horizontal="left"/>
    </xf>
    <xf numFmtId="0" fontId="3" fillId="10" borderId="6" xfId="0" applyFont="1" applyFill="1" applyBorder="1" applyAlignment="1">
      <alignment horizontal="center" vertical="center"/>
    </xf>
    <xf numFmtId="0" fontId="3" fillId="10" borderId="68" xfId="0" applyFont="1" applyFill="1" applyBorder="1" applyAlignment="1">
      <alignment horizontal="center" vertical="center"/>
    </xf>
    <xf numFmtId="0" fontId="3" fillId="10" borderId="6" xfId="0" applyFont="1" applyFill="1" applyBorder="1" applyAlignment="1">
      <alignment horizontal="center"/>
    </xf>
    <xf numFmtId="170" fontId="3" fillId="7" borderId="70" xfId="0" applyNumberFormat="1" applyFont="1" applyFill="1" applyBorder="1" applyAlignment="1">
      <alignment horizontal="center"/>
    </xf>
    <xf numFmtId="172" fontId="3" fillId="7" borderId="71" xfId="0" applyNumberFormat="1" applyFont="1" applyFill="1" applyBorder="1" applyAlignment="1">
      <alignment horizontal="center"/>
    </xf>
    <xf numFmtId="170" fontId="3" fillId="7" borderId="73" xfId="0" applyNumberFormat="1" applyFont="1" applyFill="1" applyBorder="1" applyAlignment="1">
      <alignment horizontal="center"/>
    </xf>
    <xf numFmtId="172" fontId="3" fillId="7" borderId="74" xfId="0" applyNumberFormat="1" applyFont="1" applyFill="1" applyBorder="1" applyAlignment="1">
      <alignment horizontal="center"/>
    </xf>
    <xf numFmtId="0" fontId="3" fillId="7" borderId="73" xfId="0" applyNumberFormat="1" applyFont="1" applyFill="1" applyBorder="1" applyAlignment="1">
      <alignment horizontal="center"/>
    </xf>
    <xf numFmtId="170" fontId="3" fillId="7" borderId="76" xfId="0" applyNumberFormat="1" applyFont="1" applyFill="1" applyBorder="1" applyAlignment="1">
      <alignment horizontal="center"/>
    </xf>
    <xf numFmtId="10" fontId="3" fillId="7" borderId="71" xfId="2" applyNumberFormat="1" applyFont="1" applyFill="1" applyBorder="1" applyAlignment="1">
      <alignment horizontal="center"/>
    </xf>
    <xf numFmtId="0" fontId="3" fillId="7" borderId="72" xfId="0" applyFont="1" applyFill="1" applyBorder="1"/>
    <xf numFmtId="10" fontId="3" fillId="7" borderId="74" xfId="2" applyNumberFormat="1" applyFont="1" applyFill="1" applyBorder="1" applyAlignment="1">
      <alignment horizontal="center"/>
    </xf>
    <xf numFmtId="0" fontId="3" fillId="7" borderId="75" xfId="0" applyFont="1" applyFill="1" applyBorder="1"/>
    <xf numFmtId="0" fontId="3" fillId="7" borderId="79" xfId="0" applyFont="1" applyFill="1" applyBorder="1"/>
    <xf numFmtId="0" fontId="3" fillId="12" borderId="6" xfId="0" applyFont="1" applyFill="1" applyBorder="1"/>
    <xf numFmtId="0" fontId="3" fillId="12" borderId="0" xfId="0" applyFont="1" applyFill="1" applyBorder="1"/>
    <xf numFmtId="0" fontId="3" fillId="12" borderId="1" xfId="0" applyFont="1" applyFill="1" applyBorder="1"/>
    <xf numFmtId="0" fontId="3" fillId="12" borderId="68" xfId="0" applyFont="1" applyFill="1" applyBorder="1"/>
    <xf numFmtId="0" fontId="3" fillId="12" borderId="6" xfId="0" applyFont="1" applyFill="1" applyBorder="1" applyAlignment="1">
      <alignment horizontal="center" vertical="center"/>
    </xf>
    <xf numFmtId="0" fontId="3" fillId="12" borderId="6" xfId="0" applyFont="1" applyFill="1" applyBorder="1" applyAlignment="1">
      <alignment horizontal="center" vertical="center" wrapText="1"/>
    </xf>
    <xf numFmtId="0" fontId="3" fillId="12" borderId="61" xfId="0" applyFont="1" applyFill="1" applyBorder="1"/>
    <xf numFmtId="1" fontId="3" fillId="7" borderId="71" xfId="0" applyNumberFormat="1" applyFont="1" applyFill="1" applyBorder="1" applyAlignment="1">
      <alignment horizontal="center"/>
    </xf>
    <xf numFmtId="1" fontId="3" fillId="7" borderId="74" xfId="0" applyNumberFormat="1" applyFont="1" applyFill="1" applyBorder="1" applyAlignment="1">
      <alignment horizontal="center"/>
    </xf>
    <xf numFmtId="172" fontId="3" fillId="7" borderId="70" xfId="0" applyNumberFormat="1" applyFont="1" applyFill="1" applyBorder="1" applyAlignment="1">
      <alignment horizontal="center"/>
    </xf>
    <xf numFmtId="172" fontId="3" fillId="7" borderId="73" xfId="0" applyNumberFormat="1" applyFont="1" applyFill="1" applyBorder="1" applyAlignment="1">
      <alignment horizontal="center"/>
    </xf>
    <xf numFmtId="172" fontId="3" fillId="7" borderId="78" xfId="0" applyNumberFormat="1" applyFont="1" applyFill="1" applyBorder="1" applyAlignment="1">
      <alignment horizontal="center"/>
    </xf>
    <xf numFmtId="0" fontId="8" fillId="0" borderId="0" xfId="0" applyFont="1"/>
    <xf numFmtId="0" fontId="3" fillId="0" borderId="0" xfId="0" applyFont="1" applyAlignment="1">
      <alignment horizontal="right"/>
    </xf>
    <xf numFmtId="0" fontId="8" fillId="0" borderId="0" xfId="0" applyFont="1" applyAlignment="1">
      <alignment horizontal="right"/>
    </xf>
    <xf numFmtId="0" fontId="18" fillId="0" borderId="0" xfId="0" applyFont="1" applyFill="1" applyAlignment="1">
      <alignment horizontal="center" vertical="center"/>
    </xf>
    <xf numFmtId="0" fontId="3" fillId="0" borderId="0" xfId="0" applyFont="1" applyFill="1"/>
    <xf numFmtId="0" fontId="25" fillId="0" borderId="0" xfId="0" applyFont="1" applyFill="1" applyBorder="1" applyAlignment="1">
      <alignment horizontal="center" vertical="center"/>
    </xf>
    <xf numFmtId="14" fontId="25" fillId="0" borderId="0" xfId="0" applyNumberFormat="1" applyFont="1" applyFill="1" applyBorder="1" applyAlignment="1">
      <alignment horizontal="center"/>
    </xf>
    <xf numFmtId="0" fontId="3" fillId="0" borderId="0" xfId="0" applyFont="1" applyFill="1" applyBorder="1"/>
    <xf numFmtId="166" fontId="25" fillId="0" borderId="0" xfId="0" applyNumberFormat="1" applyFont="1" applyFill="1" applyBorder="1" applyAlignment="1">
      <alignment horizontal="center"/>
    </xf>
    <xf numFmtId="0" fontId="2" fillId="0" borderId="0" xfId="0" applyFont="1" applyAlignment="1">
      <alignment horizontal="center"/>
    </xf>
    <xf numFmtId="0" fontId="26" fillId="0" borderId="0" xfId="0" applyFont="1"/>
    <xf numFmtId="0" fontId="27" fillId="0" borderId="0" xfId="0" applyFont="1" applyAlignment="1">
      <alignment horizontal="center"/>
    </xf>
    <xf numFmtId="0" fontId="27" fillId="0" borderId="0" xfId="0" applyFont="1"/>
    <xf numFmtId="170" fontId="27" fillId="0" borderId="0" xfId="0" applyNumberFormat="1" applyFont="1" applyAlignment="1">
      <alignment horizontal="right"/>
    </xf>
    <xf numFmtId="0" fontId="9" fillId="6" borderId="7" xfId="0" applyFont="1" applyFill="1" applyBorder="1" applyAlignment="1">
      <alignment horizontal="center" vertical="center"/>
    </xf>
    <xf numFmtId="5" fontId="16" fillId="8" borderId="54" xfId="4" applyNumberFormat="1" applyAlignment="1">
      <alignment horizontal="center" vertical="center"/>
    </xf>
    <xf numFmtId="5" fontId="17" fillId="9" borderId="55" xfId="5" applyNumberFormat="1" applyAlignment="1">
      <alignment horizontal="center" vertical="center"/>
    </xf>
    <xf numFmtId="171" fontId="16" fillId="8" borderId="54" xfId="4" applyNumberFormat="1" applyAlignment="1">
      <alignment horizontal="center" vertical="center"/>
    </xf>
    <xf numFmtId="0" fontId="3" fillId="7" borderId="71" xfId="0" applyNumberFormat="1" applyFont="1" applyFill="1" applyBorder="1" applyAlignment="1">
      <alignment horizontal="center"/>
    </xf>
    <xf numFmtId="0" fontId="25" fillId="11" borderId="1" xfId="0" applyFont="1" applyFill="1" applyBorder="1" applyAlignment="1"/>
    <xf numFmtId="0" fontId="25" fillId="11" borderId="48" xfId="0" applyFont="1" applyFill="1" applyBorder="1" applyAlignment="1">
      <alignment horizontal="center"/>
    </xf>
    <xf numFmtId="0" fontId="3" fillId="12" borderId="0" xfId="0" quotePrefix="1" applyFont="1" applyFill="1" applyBorder="1"/>
    <xf numFmtId="0" fontId="6" fillId="12" borderId="19" xfId="0" applyFont="1" applyFill="1" applyBorder="1"/>
    <xf numFmtId="172" fontId="3" fillId="7" borderId="82" xfId="0" applyNumberFormat="1" applyFont="1" applyFill="1" applyBorder="1" applyAlignment="1">
      <alignment horizontal="center"/>
    </xf>
    <xf numFmtId="172" fontId="2" fillId="7" borderId="81" xfId="0" applyNumberFormat="1" applyFont="1" applyFill="1" applyBorder="1" applyAlignment="1">
      <alignment horizontal="center"/>
    </xf>
    <xf numFmtId="172" fontId="2" fillId="7" borderId="83" xfId="0" applyNumberFormat="1" applyFont="1" applyFill="1" applyBorder="1" applyAlignment="1">
      <alignment horizontal="center"/>
    </xf>
    <xf numFmtId="172" fontId="3" fillId="7" borderId="83" xfId="0" applyNumberFormat="1" applyFont="1" applyFill="1" applyBorder="1" applyAlignment="1">
      <alignment horizontal="center"/>
    </xf>
    <xf numFmtId="172" fontId="3" fillId="7" borderId="84" xfId="0" applyNumberFormat="1" applyFont="1" applyFill="1" applyBorder="1" applyAlignment="1">
      <alignment horizontal="center"/>
    </xf>
    <xf numFmtId="172" fontId="3" fillId="7" borderId="85" xfId="0" applyNumberFormat="1" applyFont="1" applyFill="1" applyBorder="1" applyAlignment="1">
      <alignment horizontal="center"/>
    </xf>
    <xf numFmtId="172" fontId="3" fillId="7" borderId="86" xfId="0" applyNumberFormat="1" applyFont="1" applyFill="1" applyBorder="1" applyAlignment="1">
      <alignment horizontal="center"/>
    </xf>
    <xf numFmtId="172" fontId="3" fillId="7" borderId="87" xfId="0" applyNumberFormat="1" applyFont="1" applyFill="1" applyBorder="1" applyAlignment="1">
      <alignment horizontal="center"/>
    </xf>
    <xf numFmtId="0" fontId="3" fillId="10" borderId="88" xfId="0" applyFont="1" applyFill="1" applyBorder="1"/>
    <xf numFmtId="0" fontId="3" fillId="10" borderId="89" xfId="0" applyFont="1" applyFill="1" applyBorder="1"/>
    <xf numFmtId="170" fontId="3" fillId="7" borderId="85" xfId="0" applyNumberFormat="1" applyFont="1" applyFill="1" applyBorder="1" applyAlignment="1">
      <alignment horizontal="center"/>
    </xf>
    <xf numFmtId="0" fontId="3" fillId="7" borderId="87" xfId="0" applyFont="1" applyFill="1" applyBorder="1"/>
    <xf numFmtId="1" fontId="3" fillId="7" borderId="86" xfId="0" applyNumberFormat="1" applyFont="1" applyFill="1" applyBorder="1" applyAlignment="1">
      <alignment horizontal="center"/>
    </xf>
    <xf numFmtId="0" fontId="2" fillId="7" borderId="81" xfId="0" applyNumberFormat="1" applyFont="1" applyFill="1" applyBorder="1" applyAlignment="1">
      <alignment horizontal="center"/>
    </xf>
    <xf numFmtId="0" fontId="2" fillId="7" borderId="83" xfId="0" applyNumberFormat="1" applyFont="1" applyFill="1" applyBorder="1" applyAlignment="1">
      <alignment horizontal="center"/>
    </xf>
    <xf numFmtId="0" fontId="2" fillId="10" borderId="6" xfId="0" applyFont="1" applyFill="1" applyBorder="1" applyAlignment="1">
      <alignment horizontal="center" vertical="center"/>
    </xf>
    <xf numFmtId="170" fontId="2" fillId="7" borderId="83" xfId="0" applyNumberFormat="1" applyFont="1" applyFill="1" applyBorder="1" applyAlignment="1">
      <alignment horizontal="center"/>
    </xf>
    <xf numFmtId="0" fontId="9" fillId="6" borderId="7" xfId="0" applyFont="1" applyFill="1" applyBorder="1" applyAlignment="1">
      <alignment horizontal="center" vertical="center"/>
    </xf>
    <xf numFmtId="171" fontId="16" fillId="8" borderId="54" xfId="4" applyNumberFormat="1" applyAlignment="1">
      <alignment horizontal="center" vertical="center"/>
    </xf>
    <xf numFmtId="5" fontId="16" fillId="8" borderId="54" xfId="4" applyNumberFormat="1" applyAlignment="1">
      <alignment horizontal="center" vertical="center"/>
    </xf>
    <xf numFmtId="5" fontId="17" fillId="9" borderId="55" xfId="5" applyNumberFormat="1" applyAlignment="1">
      <alignment horizontal="center" vertical="center"/>
    </xf>
    <xf numFmtId="0" fontId="3" fillId="0" borderId="0" xfId="0" applyFont="1" applyAlignment="1">
      <alignment horizontal="right"/>
    </xf>
    <xf numFmtId="44" fontId="2" fillId="7" borderId="81" xfId="0" applyNumberFormat="1" applyFont="1" applyFill="1" applyBorder="1" applyAlignment="1">
      <alignment horizontal="center"/>
    </xf>
    <xf numFmtId="10" fontId="2" fillId="7" borderId="72" xfId="2" applyNumberFormat="1" applyFont="1" applyFill="1" applyBorder="1" applyAlignment="1">
      <alignment horizontal="center"/>
    </xf>
    <xf numFmtId="10" fontId="2" fillId="7" borderId="75" xfId="2" applyNumberFormat="1" applyFont="1" applyFill="1" applyBorder="1" applyAlignment="1">
      <alignment horizontal="center"/>
    </xf>
    <xf numFmtId="10" fontId="2" fillId="7" borderId="77" xfId="2" applyNumberFormat="1" applyFont="1" applyFill="1" applyBorder="1" applyAlignment="1">
      <alignment horizontal="center"/>
    </xf>
    <xf numFmtId="0" fontId="28" fillId="0" borderId="0" xfId="0" applyFont="1" applyAlignment="1">
      <alignment vertical="center"/>
    </xf>
    <xf numFmtId="166" fontId="25" fillId="12" borderId="69" xfId="0" applyNumberFormat="1" applyFont="1" applyFill="1" applyBorder="1" applyAlignment="1">
      <alignment horizontal="center"/>
    </xf>
    <xf numFmtId="166" fontId="25" fillId="12" borderId="22" xfId="0" applyNumberFormat="1" applyFont="1" applyFill="1" applyBorder="1" applyAlignment="1">
      <alignment horizontal="center"/>
    </xf>
    <xf numFmtId="166" fontId="25" fillId="12" borderId="48" xfId="0" applyNumberFormat="1" applyFont="1" applyFill="1" applyBorder="1" applyAlignment="1">
      <alignment horizontal="center"/>
    </xf>
    <xf numFmtId="44" fontId="0" fillId="0" borderId="0" xfId="0" applyNumberFormat="1" applyFont="1"/>
    <xf numFmtId="0" fontId="29" fillId="0" borderId="0" xfId="0" applyFont="1" applyAlignment="1">
      <alignment vertical="center" textRotation="90"/>
    </xf>
    <xf numFmtId="0" fontId="9" fillId="4" borderId="7" xfId="0" applyFont="1" applyFill="1" applyBorder="1" applyAlignment="1">
      <alignment horizontal="center" vertical="center"/>
    </xf>
    <xf numFmtId="166" fontId="7" fillId="0" borderId="19" xfId="2" applyNumberFormat="1" applyFont="1" applyFill="1" applyBorder="1" applyAlignment="1">
      <alignment horizontal="center" vertical="center"/>
    </xf>
    <xf numFmtId="10" fontId="16" fillId="8" borderId="56" xfId="4" applyNumberFormat="1" applyBorder="1" applyAlignment="1">
      <alignment horizontal="center" vertical="center"/>
    </xf>
    <xf numFmtId="10" fontId="17" fillId="9" borderId="91" xfId="5" applyNumberFormat="1" applyBorder="1" applyAlignment="1">
      <alignment horizontal="center" vertical="center"/>
    </xf>
    <xf numFmtId="167" fontId="8" fillId="0" borderId="38" xfId="0" quotePrefix="1" applyNumberFormat="1" applyFont="1" applyBorder="1" applyAlignment="1">
      <alignment horizontal="center" vertical="center"/>
    </xf>
    <xf numFmtId="0" fontId="8" fillId="0" borderId="39" xfId="0" applyFont="1" applyBorder="1" applyAlignment="1">
      <alignment horizontal="center" vertical="center"/>
    </xf>
    <xf numFmtId="0" fontId="8" fillId="0" borderId="40" xfId="0" applyFont="1" applyBorder="1" applyAlignment="1">
      <alignment horizontal="center" vertical="center"/>
    </xf>
    <xf numFmtId="166" fontId="8" fillId="0" borderId="44" xfId="0" quotePrefix="1" applyNumberFormat="1" applyFont="1" applyBorder="1" applyAlignment="1">
      <alignment horizontal="center" vertical="center"/>
    </xf>
    <xf numFmtId="166" fontId="8" fillId="0" borderId="45" xfId="0" quotePrefix="1" applyNumberFormat="1" applyFont="1" applyBorder="1" applyAlignment="1">
      <alignment horizontal="center" vertical="center"/>
    </xf>
    <xf numFmtId="166" fontId="8" fillId="0" borderId="31" xfId="0" quotePrefix="1" applyNumberFormat="1" applyFont="1" applyBorder="1" applyAlignment="1">
      <alignment horizontal="center" vertical="center"/>
    </xf>
    <xf numFmtId="0" fontId="10" fillId="6" borderId="7" xfId="0" applyFont="1" applyFill="1" applyBorder="1" applyAlignment="1">
      <alignment horizontal="center" vertical="center" wrapText="1"/>
    </xf>
    <xf numFmtId="0" fontId="10" fillId="6" borderId="35" xfId="0" applyFont="1" applyFill="1" applyBorder="1" applyAlignment="1">
      <alignment horizontal="center" vertical="center" wrapText="1"/>
    </xf>
    <xf numFmtId="170" fontId="8" fillId="0" borderId="46" xfId="0" applyNumberFormat="1" applyFont="1" applyFill="1" applyBorder="1" applyAlignment="1">
      <alignment horizontal="center" vertical="center"/>
    </xf>
    <xf numFmtId="170" fontId="8" fillId="0" borderId="47" xfId="0" applyNumberFormat="1" applyFont="1" applyFill="1" applyBorder="1" applyAlignment="1">
      <alignment horizontal="center" vertical="center"/>
    </xf>
    <xf numFmtId="170" fontId="8" fillId="0" borderId="27" xfId="0" applyNumberFormat="1" applyFont="1" applyFill="1" applyBorder="1" applyAlignment="1">
      <alignment horizontal="center" vertical="center"/>
    </xf>
    <xf numFmtId="170" fontId="8" fillId="0" borderId="32" xfId="0" applyNumberFormat="1" applyFont="1" applyFill="1" applyBorder="1" applyAlignment="1">
      <alignment horizontal="center" vertical="center"/>
    </xf>
    <xf numFmtId="170" fontId="8" fillId="0" borderId="33" xfId="0" applyNumberFormat="1" applyFont="1" applyFill="1" applyBorder="1" applyAlignment="1">
      <alignment horizontal="center" vertical="center"/>
    </xf>
    <xf numFmtId="170" fontId="8" fillId="0" borderId="34" xfId="0" applyNumberFormat="1" applyFont="1" applyFill="1" applyBorder="1" applyAlignment="1">
      <alignment horizontal="center" vertical="center"/>
    </xf>
    <xf numFmtId="171" fontId="23" fillId="3" borderId="65" xfId="1" applyNumberFormat="1" applyFont="1" applyFill="1" applyBorder="1" applyAlignment="1">
      <alignment horizontal="center" vertical="center"/>
    </xf>
    <xf numFmtId="171" fontId="23" fillId="3" borderId="66" xfId="1" applyNumberFormat="1" applyFont="1" applyFill="1" applyBorder="1" applyAlignment="1">
      <alignment horizontal="center" vertical="center"/>
    </xf>
    <xf numFmtId="171" fontId="23" fillId="3" borderId="67" xfId="1" applyNumberFormat="1" applyFont="1" applyFill="1" applyBorder="1" applyAlignment="1">
      <alignment horizontal="center" vertical="center"/>
    </xf>
    <xf numFmtId="171" fontId="23" fillId="3" borderId="57" xfId="1" applyNumberFormat="1" applyFont="1" applyFill="1" applyBorder="1" applyAlignment="1">
      <alignment horizontal="center" vertical="center"/>
    </xf>
    <xf numFmtId="166" fontId="8" fillId="2" borderId="22" xfId="0" applyNumberFormat="1" applyFont="1" applyFill="1" applyBorder="1" applyAlignment="1">
      <alignment horizontal="center" vertical="center"/>
    </xf>
    <xf numFmtId="0" fontId="7" fillId="0" borderId="36" xfId="0" applyFont="1" applyFill="1" applyBorder="1" applyAlignment="1">
      <alignment horizontal="center" vertical="center" wrapText="1"/>
    </xf>
    <xf numFmtId="0" fontId="7" fillId="0" borderId="35" xfId="0" applyFont="1" applyFill="1" applyBorder="1" applyAlignment="1">
      <alignment horizontal="center" vertical="center" wrapText="1"/>
    </xf>
    <xf numFmtId="170" fontId="7" fillId="0" borderId="25" xfId="0" applyNumberFormat="1" applyFont="1" applyFill="1" applyBorder="1" applyAlignment="1">
      <alignment horizontal="center" vertical="center"/>
    </xf>
    <xf numFmtId="170" fontId="7" fillId="0" borderId="34" xfId="0" applyNumberFormat="1" applyFont="1" applyFill="1" applyBorder="1" applyAlignment="1">
      <alignment horizontal="center" vertical="center"/>
    </xf>
    <xf numFmtId="170" fontId="8" fillId="0" borderId="41" xfId="1" applyNumberFormat="1" applyFont="1" applyBorder="1" applyAlignment="1">
      <alignment horizontal="center" vertical="center"/>
    </xf>
    <xf numFmtId="170" fontId="8" fillId="0" borderId="42" xfId="1" applyNumberFormat="1" applyFont="1" applyBorder="1" applyAlignment="1">
      <alignment horizontal="center" vertical="center"/>
    </xf>
    <xf numFmtId="170" fontId="8" fillId="0" borderId="43" xfId="1" applyNumberFormat="1" applyFont="1" applyBorder="1" applyAlignment="1">
      <alignment horizontal="center" vertical="center"/>
    </xf>
    <xf numFmtId="170" fontId="8" fillId="0" borderId="25" xfId="0" applyNumberFormat="1" applyFont="1" applyFill="1" applyBorder="1" applyAlignment="1">
      <alignment horizontal="center" vertical="center"/>
    </xf>
    <xf numFmtId="170" fontId="8" fillId="0" borderId="26" xfId="0" applyNumberFormat="1" applyFont="1" applyFill="1" applyBorder="1" applyAlignment="1">
      <alignment horizontal="center" vertical="center"/>
    </xf>
    <xf numFmtId="170" fontId="8" fillId="0" borderId="37" xfId="0" applyNumberFormat="1" applyFont="1" applyFill="1" applyBorder="1" applyAlignment="1">
      <alignment horizontal="center" vertical="center"/>
    </xf>
    <xf numFmtId="0" fontId="7" fillId="2" borderId="7" xfId="0" applyFont="1" applyFill="1" applyBorder="1" applyAlignment="1">
      <alignment horizontal="left" vertical="center"/>
    </xf>
    <xf numFmtId="0" fontId="7" fillId="2" borderId="35" xfId="0" applyFont="1" applyFill="1" applyBorder="1" applyAlignment="1">
      <alignment horizontal="left" vertical="center"/>
    </xf>
    <xf numFmtId="0" fontId="7" fillId="0" borderId="36" xfId="0" applyFont="1" applyFill="1" applyBorder="1" applyAlignment="1">
      <alignment horizontal="center" vertical="center"/>
    </xf>
    <xf numFmtId="0" fontId="7" fillId="0" borderId="35" xfId="0" applyFont="1" applyFill="1" applyBorder="1" applyAlignment="1">
      <alignment horizontal="center" vertical="center"/>
    </xf>
    <xf numFmtId="0" fontId="9" fillId="6" borderId="7" xfId="0" applyFont="1" applyFill="1" applyBorder="1" applyAlignment="1">
      <alignment horizontal="center" vertical="center"/>
    </xf>
    <xf numFmtId="0" fontId="9" fillId="6" borderId="35" xfId="0" applyFont="1" applyFill="1" applyBorder="1" applyAlignment="1">
      <alignment horizontal="center" vertical="center"/>
    </xf>
    <xf numFmtId="171" fontId="18" fillId="3" borderId="50" xfId="1" applyNumberFormat="1" applyFont="1" applyFill="1" applyBorder="1" applyAlignment="1">
      <alignment horizontal="center" vertical="center"/>
    </xf>
    <xf numFmtId="171" fontId="18" fillId="3" borderId="51" xfId="1" applyNumberFormat="1" applyFont="1" applyFill="1" applyBorder="1" applyAlignment="1">
      <alignment horizontal="center" vertical="center"/>
    </xf>
    <xf numFmtId="0" fontId="7" fillId="0" borderId="19"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8" xfId="0" applyFont="1" applyFill="1" applyBorder="1" applyAlignment="1">
      <alignment horizontal="center" vertical="center"/>
    </xf>
    <xf numFmtId="0" fontId="7" fillId="7" borderId="0" xfId="0" applyFont="1" applyFill="1" applyBorder="1" applyAlignment="1">
      <alignment horizontal="center" vertical="center"/>
    </xf>
    <xf numFmtId="166" fontId="18" fillId="3" borderId="7" xfId="2" applyNumberFormat="1" applyFont="1" applyFill="1" applyBorder="1" applyAlignment="1">
      <alignment horizontal="center" vertical="center"/>
    </xf>
    <xf numFmtId="166" fontId="18" fillId="3" borderId="35" xfId="2" applyNumberFormat="1" applyFont="1" applyFill="1" applyBorder="1" applyAlignment="1">
      <alignment horizontal="center" vertical="center"/>
    </xf>
    <xf numFmtId="0" fontId="9" fillId="6" borderId="36" xfId="0" quotePrefix="1" applyFont="1" applyFill="1" applyBorder="1" applyAlignment="1">
      <alignment horizontal="center" vertical="center"/>
    </xf>
    <xf numFmtId="0" fontId="9" fillId="6" borderId="35" xfId="0" quotePrefix="1" applyFont="1" applyFill="1" applyBorder="1" applyAlignment="1">
      <alignment horizontal="center" vertical="center"/>
    </xf>
    <xf numFmtId="171" fontId="18" fillId="3" borderId="36" xfId="1" applyNumberFormat="1" applyFont="1" applyFill="1" applyBorder="1" applyAlignment="1">
      <alignment horizontal="center" vertical="center"/>
    </xf>
    <xf numFmtId="171" fontId="18" fillId="3" borderId="35" xfId="1" applyNumberFormat="1" applyFont="1" applyFill="1" applyBorder="1" applyAlignment="1">
      <alignment horizontal="center" vertical="center"/>
    </xf>
    <xf numFmtId="171" fontId="18" fillId="3" borderId="7" xfId="1" applyNumberFormat="1" applyFont="1" applyFill="1" applyBorder="1" applyAlignment="1">
      <alignment horizontal="center" vertical="center"/>
    </xf>
    <xf numFmtId="166" fontId="18" fillId="5" borderId="7" xfId="2" applyNumberFormat="1" applyFont="1" applyFill="1" applyBorder="1" applyAlignment="1">
      <alignment horizontal="center" vertical="center"/>
    </xf>
    <xf numFmtId="166" fontId="18" fillId="5" borderId="35" xfId="2" applyNumberFormat="1" applyFont="1" applyFill="1" applyBorder="1" applyAlignment="1">
      <alignment horizontal="center" vertical="center"/>
    </xf>
    <xf numFmtId="170" fontId="8" fillId="0" borderId="41" xfId="0" applyNumberFormat="1" applyFont="1" applyBorder="1" applyAlignment="1">
      <alignment horizontal="center" vertical="center"/>
    </xf>
    <xf numFmtId="170" fontId="8" fillId="0" borderId="42" xfId="0" applyNumberFormat="1" applyFont="1" applyBorder="1" applyAlignment="1">
      <alignment horizontal="center" vertical="center"/>
    </xf>
    <xf numFmtId="170" fontId="8" fillId="0" borderId="43" xfId="0" applyNumberFormat="1" applyFont="1" applyBorder="1" applyAlignment="1">
      <alignment horizontal="center" vertical="center"/>
    </xf>
    <xf numFmtId="170" fontId="7" fillId="0" borderId="36" xfId="0" applyNumberFormat="1" applyFont="1" applyFill="1" applyBorder="1" applyAlignment="1">
      <alignment horizontal="center" vertical="center"/>
    </xf>
    <xf numFmtId="170" fontId="7" fillId="0" borderId="35" xfId="0" applyNumberFormat="1" applyFont="1" applyFill="1" applyBorder="1" applyAlignment="1">
      <alignment horizontal="center" vertical="center"/>
    </xf>
    <xf numFmtId="171" fontId="18" fillId="5" borderId="7" xfId="1" applyNumberFormat="1" applyFont="1" applyFill="1" applyBorder="1" applyAlignment="1">
      <alignment horizontal="center" vertical="center"/>
    </xf>
    <xf numFmtId="171" fontId="18" fillId="5" borderId="36" xfId="1" applyNumberFormat="1" applyFont="1" applyFill="1" applyBorder="1" applyAlignment="1">
      <alignment horizontal="center" vertical="center"/>
    </xf>
    <xf numFmtId="171" fontId="18" fillId="5" borderId="35" xfId="1" applyNumberFormat="1" applyFont="1" applyFill="1" applyBorder="1" applyAlignment="1">
      <alignment horizontal="center" vertical="center"/>
    </xf>
    <xf numFmtId="170" fontId="8" fillId="0" borderId="27" xfId="0" applyNumberFormat="1" applyFont="1" applyFill="1" applyBorder="1" applyAlignment="1">
      <alignment horizontal="right" vertical="center" indent="5"/>
    </xf>
    <xf numFmtId="170" fontId="8" fillId="0" borderId="32" xfId="0" applyNumberFormat="1" applyFont="1" applyFill="1" applyBorder="1" applyAlignment="1">
      <alignment horizontal="right" vertical="center" indent="5"/>
    </xf>
    <xf numFmtId="0" fontId="7" fillId="5" borderId="7" xfId="0" applyFont="1" applyFill="1" applyBorder="1" applyAlignment="1">
      <alignment horizontal="center" vertical="center" wrapText="1"/>
    </xf>
    <xf numFmtId="0" fontId="7" fillId="5" borderId="35" xfId="0" applyFont="1" applyFill="1" applyBorder="1" applyAlignment="1">
      <alignment horizontal="center" vertical="center"/>
    </xf>
    <xf numFmtId="170" fontId="7" fillId="0" borderId="25" xfId="0" applyNumberFormat="1" applyFont="1" applyFill="1" applyBorder="1" applyAlignment="1">
      <alignment horizontal="right" vertical="center" indent="5"/>
    </xf>
    <xf numFmtId="170" fontId="7" fillId="0" borderId="34" xfId="0" applyNumberFormat="1" applyFont="1" applyFill="1" applyBorder="1" applyAlignment="1">
      <alignment horizontal="right" vertical="center" indent="5"/>
    </xf>
    <xf numFmtId="167" fontId="8" fillId="0" borderId="39" xfId="0" quotePrefix="1" applyNumberFormat="1" applyFont="1" applyBorder="1" applyAlignment="1">
      <alignment horizontal="center" vertical="center"/>
    </xf>
    <xf numFmtId="167" fontId="8" fillId="0" borderId="40" xfId="0" quotePrefix="1" applyNumberFormat="1" applyFont="1" applyBorder="1" applyAlignment="1">
      <alignment horizontal="center" vertical="center"/>
    </xf>
    <xf numFmtId="170" fontId="8" fillId="0" borderId="25" xfId="0" applyNumberFormat="1" applyFont="1" applyFill="1" applyBorder="1" applyAlignment="1">
      <alignment horizontal="right" vertical="center" indent="5"/>
    </xf>
    <xf numFmtId="170" fontId="8" fillId="0" borderId="34" xfId="0" applyNumberFormat="1" applyFont="1" applyFill="1" applyBorder="1" applyAlignment="1">
      <alignment horizontal="right" vertical="center" indent="5"/>
    </xf>
    <xf numFmtId="170" fontId="8" fillId="0" borderId="26" xfId="0" applyNumberFormat="1" applyFont="1" applyFill="1" applyBorder="1" applyAlignment="1">
      <alignment horizontal="right" vertical="center" indent="5"/>
    </xf>
    <xf numFmtId="170" fontId="8" fillId="0" borderId="37" xfId="0" applyNumberFormat="1" applyFont="1" applyFill="1" applyBorder="1" applyAlignment="1">
      <alignment horizontal="right" vertical="center" indent="5"/>
    </xf>
    <xf numFmtId="170" fontId="7" fillId="0" borderId="36" xfId="0" applyNumberFormat="1" applyFont="1" applyFill="1" applyBorder="1" applyAlignment="1">
      <alignment horizontal="right" vertical="center" indent="5"/>
    </xf>
    <xf numFmtId="170" fontId="7" fillId="0" borderId="35" xfId="0" applyNumberFormat="1" applyFont="1" applyFill="1" applyBorder="1" applyAlignment="1">
      <alignment horizontal="right" vertical="center" indent="5"/>
    </xf>
    <xf numFmtId="170" fontId="8" fillId="0" borderId="33" xfId="0" applyNumberFormat="1" applyFont="1" applyFill="1" applyBorder="1" applyAlignment="1">
      <alignment horizontal="right" vertical="center" indent="5"/>
    </xf>
    <xf numFmtId="170" fontId="8" fillId="0" borderId="46" xfId="1" applyNumberFormat="1" applyFont="1" applyFill="1" applyBorder="1" applyAlignment="1">
      <alignment horizontal="right" vertical="center" indent="5"/>
    </xf>
    <xf numFmtId="170" fontId="8" fillId="0" borderId="47" xfId="1" applyNumberFormat="1" applyFont="1" applyFill="1" applyBorder="1" applyAlignment="1">
      <alignment horizontal="right" vertical="center" indent="5"/>
    </xf>
    <xf numFmtId="170" fontId="8" fillId="0" borderId="27" xfId="1" applyNumberFormat="1" applyFont="1" applyFill="1" applyBorder="1" applyAlignment="1">
      <alignment horizontal="right" vertical="center" indent="5"/>
    </xf>
    <xf numFmtId="170" fontId="8" fillId="0" borderId="32" xfId="1" applyNumberFormat="1" applyFont="1" applyFill="1" applyBorder="1" applyAlignment="1">
      <alignment horizontal="right" vertical="center" indent="5"/>
    </xf>
    <xf numFmtId="0" fontId="11" fillId="6" borderId="7" xfId="0" applyFont="1" applyFill="1" applyBorder="1" applyAlignment="1">
      <alignment horizontal="center" vertical="center" wrapText="1"/>
    </xf>
    <xf numFmtId="0" fontId="11" fillId="6" borderId="35" xfId="0" applyFont="1" applyFill="1" applyBorder="1" applyAlignment="1">
      <alignment horizontal="center" vertical="center" wrapText="1"/>
    </xf>
    <xf numFmtId="171" fontId="14" fillId="5" borderId="7" xfId="1" applyNumberFormat="1" applyFont="1" applyFill="1" applyBorder="1" applyAlignment="1">
      <alignment horizontal="center" vertical="center"/>
    </xf>
    <xf numFmtId="171" fontId="14" fillId="5" borderId="36" xfId="1" applyNumberFormat="1" applyFont="1" applyFill="1" applyBorder="1" applyAlignment="1">
      <alignment horizontal="center" vertical="center"/>
    </xf>
    <xf numFmtId="171" fontId="14" fillId="5" borderId="35" xfId="1" applyNumberFormat="1" applyFont="1" applyFill="1" applyBorder="1" applyAlignment="1">
      <alignment horizontal="center" vertical="center"/>
    </xf>
    <xf numFmtId="166" fontId="14" fillId="5" borderId="7" xfId="2" applyNumberFormat="1" applyFont="1" applyFill="1" applyBorder="1" applyAlignment="1">
      <alignment horizontal="center" vertical="center"/>
    </xf>
    <xf numFmtId="166" fontId="14" fillId="5" borderId="35" xfId="2" applyNumberFormat="1" applyFont="1" applyFill="1" applyBorder="1" applyAlignment="1">
      <alignment horizontal="center" vertical="center"/>
    </xf>
    <xf numFmtId="0" fontId="7" fillId="3" borderId="7" xfId="0" applyFont="1" applyFill="1" applyBorder="1" applyAlignment="1">
      <alignment horizontal="center" vertical="center" wrapText="1"/>
    </xf>
    <xf numFmtId="0" fontId="7" fillId="3" borderId="35" xfId="0" applyFont="1" applyFill="1" applyBorder="1" applyAlignment="1">
      <alignment horizontal="center" vertical="center"/>
    </xf>
    <xf numFmtId="171" fontId="14" fillId="3" borderId="50" xfId="1" applyNumberFormat="1" applyFont="1" applyFill="1" applyBorder="1" applyAlignment="1">
      <alignment horizontal="center" vertical="center"/>
    </xf>
    <xf numFmtId="171" fontId="14" fillId="3" borderId="51" xfId="1" applyNumberFormat="1" applyFont="1" applyFill="1" applyBorder="1" applyAlignment="1">
      <alignment horizontal="center" vertical="center"/>
    </xf>
    <xf numFmtId="171" fontId="14" fillId="3" borderId="36" xfId="1" applyNumberFormat="1" applyFont="1" applyFill="1" applyBorder="1" applyAlignment="1">
      <alignment horizontal="center" vertical="center"/>
    </xf>
    <xf numFmtId="171" fontId="14" fillId="3" borderId="35" xfId="1" applyNumberFormat="1" applyFont="1" applyFill="1" applyBorder="1" applyAlignment="1">
      <alignment horizontal="center" vertical="center"/>
    </xf>
    <xf numFmtId="171" fontId="14" fillId="3" borderId="7" xfId="1" applyNumberFormat="1" applyFont="1" applyFill="1" applyBorder="1" applyAlignment="1">
      <alignment horizontal="center" vertical="center"/>
    </xf>
    <xf numFmtId="166" fontId="14" fillId="3" borderId="7" xfId="2" applyNumberFormat="1" applyFont="1" applyFill="1" applyBorder="1" applyAlignment="1">
      <alignment horizontal="center" vertical="center"/>
    </xf>
    <xf numFmtId="166" fontId="14" fillId="3" borderId="35" xfId="2" applyNumberFormat="1" applyFont="1" applyFill="1" applyBorder="1" applyAlignment="1">
      <alignment horizontal="center" vertical="center"/>
    </xf>
    <xf numFmtId="0" fontId="7" fillId="0" borderId="0" xfId="0" applyFont="1" applyFill="1" applyBorder="1" applyAlignment="1">
      <alignment horizontal="center" vertical="center"/>
    </xf>
    <xf numFmtId="0" fontId="9" fillId="2" borderId="0" xfId="0" applyFont="1" applyFill="1" applyBorder="1" applyAlignment="1">
      <alignment horizontal="center" vertical="center"/>
    </xf>
    <xf numFmtId="0" fontId="9" fillId="2" borderId="0" xfId="0" quotePrefix="1" applyFont="1" applyFill="1" applyBorder="1" applyAlignment="1">
      <alignment horizontal="center" vertical="center"/>
    </xf>
    <xf numFmtId="171" fontId="17" fillId="9" borderId="55" xfId="5" applyNumberFormat="1" applyAlignment="1">
      <alignment horizontal="center" vertical="center"/>
    </xf>
    <xf numFmtId="0" fontId="29" fillId="0" borderId="2" xfId="0" applyFont="1" applyBorder="1" applyAlignment="1">
      <alignment horizontal="center" vertical="center" textRotation="90"/>
    </xf>
    <xf numFmtId="0" fontId="29" fillId="0" borderId="49" xfId="0" applyFont="1" applyBorder="1" applyAlignment="1">
      <alignment horizontal="center" vertical="center" textRotation="90"/>
    </xf>
    <xf numFmtId="0" fontId="29" fillId="0" borderId="4" xfId="0" applyFont="1" applyBorder="1" applyAlignment="1">
      <alignment horizontal="center" vertical="center" textRotation="90"/>
    </xf>
    <xf numFmtId="5" fontId="17" fillId="9" borderId="55" xfId="5" applyNumberFormat="1" applyAlignment="1">
      <alignment horizontal="center" vertical="center"/>
    </xf>
    <xf numFmtId="0" fontId="10" fillId="6" borderId="2" xfId="0" applyFont="1" applyFill="1" applyBorder="1" applyAlignment="1">
      <alignment horizontal="center" vertical="center" textRotation="90" wrapText="1"/>
    </xf>
    <xf numFmtId="0" fontId="10" fillId="6" borderId="49" xfId="0" applyFont="1" applyFill="1" applyBorder="1" applyAlignment="1">
      <alignment horizontal="center" vertical="center" textRotation="90" wrapText="1"/>
    </xf>
    <xf numFmtId="0" fontId="10" fillId="6" borderId="4" xfId="0" applyFont="1" applyFill="1" applyBorder="1" applyAlignment="1">
      <alignment horizontal="center" vertical="center" textRotation="90" wrapText="1"/>
    </xf>
    <xf numFmtId="0" fontId="15" fillId="6" borderId="2" xfId="0" applyFont="1" applyFill="1" applyBorder="1" applyAlignment="1">
      <alignment horizontal="center" vertical="center" textRotation="90" wrapText="1"/>
    </xf>
    <xf numFmtId="0" fontId="15" fillId="6" borderId="49" xfId="0" applyFont="1" applyFill="1" applyBorder="1" applyAlignment="1">
      <alignment horizontal="center" vertical="center" textRotation="90" wrapText="1"/>
    </xf>
    <xf numFmtId="0" fontId="15" fillId="6" borderId="4" xfId="0" applyFont="1" applyFill="1" applyBorder="1" applyAlignment="1">
      <alignment horizontal="center" vertical="center" textRotation="90" wrapText="1"/>
    </xf>
    <xf numFmtId="171" fontId="16" fillId="8" borderId="54" xfId="4" applyNumberFormat="1" applyAlignment="1">
      <alignment horizontal="center" vertical="center"/>
    </xf>
    <xf numFmtId="5" fontId="16" fillId="8" borderId="54" xfId="4" applyNumberFormat="1" applyAlignment="1">
      <alignment horizontal="center" vertical="center"/>
    </xf>
    <xf numFmtId="0" fontId="3" fillId="0" borderId="0" xfId="0" applyFont="1" applyAlignment="1">
      <alignment horizontal="right"/>
    </xf>
    <xf numFmtId="0" fontId="2" fillId="0" borderId="0" xfId="0" applyFont="1" applyAlignment="1">
      <alignment horizontal="center"/>
    </xf>
    <xf numFmtId="0" fontId="2" fillId="0" borderId="0" xfId="0" applyFont="1" applyAlignment="1">
      <alignment horizontal="left"/>
    </xf>
    <xf numFmtId="0" fontId="25" fillId="11" borderId="68" xfId="0" applyFont="1" applyFill="1" applyBorder="1" applyAlignment="1">
      <alignment horizontal="center" vertical="center"/>
    </xf>
    <xf numFmtId="0" fontId="25" fillId="11" borderId="69" xfId="0" applyFont="1" applyFill="1" applyBorder="1" applyAlignment="1">
      <alignment horizontal="center" vertical="center"/>
    </xf>
    <xf numFmtId="14" fontId="25" fillId="11" borderId="19" xfId="0" applyNumberFormat="1" applyFont="1" applyFill="1" applyBorder="1" applyAlignment="1">
      <alignment horizontal="center"/>
    </xf>
    <xf numFmtId="14" fontId="25" fillId="11" borderId="48" xfId="0" applyNumberFormat="1" applyFont="1" applyFill="1" applyBorder="1" applyAlignment="1">
      <alignment horizontal="center"/>
    </xf>
    <xf numFmtId="1" fontId="3" fillId="7" borderId="80" xfId="0" applyNumberFormat="1" applyFont="1" applyFill="1" applyBorder="1" applyAlignment="1">
      <alignment horizontal="center" vertical="center"/>
    </xf>
    <xf numFmtId="1" fontId="3" fillId="7" borderId="90" xfId="0" applyNumberFormat="1" applyFont="1" applyFill="1" applyBorder="1" applyAlignment="1">
      <alignment horizontal="center" vertical="center"/>
    </xf>
    <xf numFmtId="0" fontId="2" fillId="10" borderId="19" xfId="0" applyFont="1" applyFill="1" applyBorder="1" applyAlignment="1">
      <alignment horizontal="center"/>
    </xf>
    <xf numFmtId="0" fontId="2" fillId="10" borderId="1" xfId="0" applyFont="1" applyFill="1" applyBorder="1" applyAlignment="1">
      <alignment horizontal="center"/>
    </xf>
    <xf numFmtId="0" fontId="18" fillId="0" borderId="0" xfId="0" applyFont="1" applyAlignment="1">
      <alignment horizontal="center" vertical="center"/>
    </xf>
    <xf numFmtId="0" fontId="2" fillId="10" borderId="68" xfId="0" applyFont="1" applyFill="1" applyBorder="1" applyAlignment="1">
      <alignment horizontal="center" vertical="center"/>
    </xf>
    <xf numFmtId="0" fontId="2" fillId="10" borderId="6" xfId="0" applyFont="1" applyFill="1" applyBorder="1" applyAlignment="1">
      <alignment horizontal="center" vertical="center"/>
    </xf>
    <xf numFmtId="0" fontId="3" fillId="10" borderId="88" xfId="0" applyFont="1" applyFill="1" applyBorder="1" applyAlignment="1">
      <alignment horizontal="center"/>
    </xf>
    <xf numFmtId="0" fontId="3" fillId="10" borderId="89" xfId="0" applyFont="1" applyFill="1" applyBorder="1" applyAlignment="1">
      <alignment horizontal="center"/>
    </xf>
    <xf numFmtId="0" fontId="3" fillId="10" borderId="61" xfId="0" applyFont="1" applyFill="1" applyBorder="1" applyAlignment="1">
      <alignment horizontal="center"/>
    </xf>
    <xf numFmtId="0" fontId="3" fillId="10" borderId="0" xfId="0" applyFont="1" applyFill="1" applyBorder="1" applyAlignment="1">
      <alignment horizontal="center"/>
    </xf>
  </cellXfs>
  <cellStyles count="7">
    <cellStyle name="Monétaire" xfId="1" builtinId="4"/>
    <cellStyle name="Normal" xfId="0" builtinId="0"/>
    <cellStyle name="Normal 2" xfId="6"/>
    <cellStyle name="Pourcentage" xfId="2" builtinId="5"/>
    <cellStyle name="Sortie" xfId="4" builtinId="21"/>
    <cellStyle name="Standard_JAN" xfId="3"/>
    <cellStyle name="Vérification" xfId="5" builtinId="23"/>
  </cellStyles>
  <dxfs count="88">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FF0000"/>
        </patternFill>
      </fill>
    </dxf>
    <dxf>
      <fill>
        <patternFill>
          <bgColor rgb="FFFF0000"/>
        </patternFill>
      </fill>
    </dxf>
    <dxf>
      <font>
        <b val="0"/>
        <i val="0"/>
        <strike val="0"/>
        <condense val="0"/>
        <extend val="0"/>
        <outline val="0"/>
        <shadow val="0"/>
        <u val="none"/>
        <vertAlign val="baseline"/>
        <sz val="7.5"/>
        <color auto="1"/>
        <name val="Verdana"/>
        <scheme val="none"/>
      </font>
      <numFmt numFmtId="170" formatCode="_-&quot;CHF&quot;\ * #,##0_-;\-&quot;CHF&quot;\ * #,##0_-;_-&quot;CHF&quot;\ * &quot;-&quot;??_-;_-@_-"/>
      <alignment horizontal="right" vertical="bottom" textRotation="0" wrapText="0" indent="0" justifyLastLine="0" shrinkToFit="0" readingOrder="0"/>
    </dxf>
    <dxf>
      <font>
        <b val="0"/>
        <i val="0"/>
        <strike val="0"/>
        <condense val="0"/>
        <extend val="0"/>
        <outline val="0"/>
        <shadow val="0"/>
        <u val="none"/>
        <vertAlign val="baseline"/>
        <sz val="7.5"/>
        <color auto="1"/>
        <name val="Verdana"/>
        <scheme val="none"/>
      </font>
      <numFmt numFmtId="170" formatCode="_-&quot;CHF&quot;\ * #,##0_-;\-&quot;CHF&quot;\ * #,##0_-;_-&quot;CHF&quot;\ * &quot;-&quot;??_-;_-@_-"/>
      <alignment horizontal="right" vertical="bottom" textRotation="0" wrapText="0" indent="0" justifyLastLine="0" shrinkToFit="0" readingOrder="0"/>
    </dxf>
    <dxf>
      <font>
        <b val="0"/>
        <i val="0"/>
        <strike val="0"/>
        <condense val="0"/>
        <extend val="0"/>
        <outline val="0"/>
        <shadow val="0"/>
        <u val="none"/>
        <vertAlign val="baseline"/>
        <sz val="7.5"/>
        <color auto="1"/>
        <name val="Verdana"/>
        <scheme val="none"/>
      </font>
    </dxf>
    <dxf>
      <font>
        <b val="0"/>
        <i val="0"/>
        <strike val="0"/>
        <condense val="0"/>
        <extend val="0"/>
        <outline val="0"/>
        <shadow val="0"/>
        <u val="none"/>
        <vertAlign val="baseline"/>
        <sz val="7.5"/>
        <color auto="1"/>
        <name val="Verdana"/>
        <scheme val="none"/>
      </font>
      <numFmt numFmtId="170" formatCode="_-&quot;CHF&quot;\ * #,##0_-;\-&quot;CHF&quot;\ * #,##0_-;_-&quot;CHF&quot;\ * &quot;-&quot;??_-;_-@_-"/>
      <alignment horizontal="right" vertical="bottom" textRotation="0" wrapText="0" indent="0" justifyLastLine="0" shrinkToFit="0" readingOrder="0"/>
    </dxf>
    <dxf>
      <font>
        <b val="0"/>
        <i val="0"/>
        <strike val="0"/>
        <condense val="0"/>
        <extend val="0"/>
        <outline val="0"/>
        <shadow val="0"/>
        <u val="none"/>
        <vertAlign val="baseline"/>
        <sz val="7.5"/>
        <color auto="1"/>
        <name val="Verdana"/>
        <scheme val="none"/>
      </font>
      <numFmt numFmtId="170" formatCode="_-&quot;CHF&quot;\ * #,##0_-;\-&quot;CHF&quot;\ * #,##0_-;_-&quot;CHF&quot;\ * &quot;-&quot;??_-;_-@_-"/>
      <alignment horizontal="right" vertical="bottom" textRotation="0" wrapText="0" indent="0" justifyLastLine="0" shrinkToFit="0" readingOrder="0"/>
    </dxf>
    <dxf>
      <font>
        <b val="0"/>
        <i val="0"/>
        <strike val="0"/>
        <condense val="0"/>
        <extend val="0"/>
        <outline val="0"/>
        <shadow val="0"/>
        <u val="none"/>
        <vertAlign val="baseline"/>
        <sz val="7.5"/>
        <color auto="1"/>
        <name val="Verdana"/>
        <scheme val="none"/>
      </font>
    </dxf>
    <dxf>
      <font>
        <strike val="0"/>
        <outline val="0"/>
        <shadow val="0"/>
        <u val="none"/>
        <vertAlign val="baseline"/>
        <sz val="7.5"/>
        <color auto="1"/>
        <name val="Verdana"/>
        <scheme val="none"/>
      </font>
    </dxf>
    <dxf>
      <font>
        <strike val="0"/>
        <outline val="0"/>
        <shadow val="0"/>
        <u val="none"/>
        <vertAlign val="baseline"/>
        <sz val="7.5"/>
        <color auto="1"/>
        <name val="Verdana"/>
        <scheme val="none"/>
      </font>
    </dxf>
    <dxf>
      <font>
        <b val="0"/>
        <i val="0"/>
        <strike val="0"/>
        <condense val="0"/>
        <extend val="0"/>
        <outline val="0"/>
        <shadow val="0"/>
        <u val="none"/>
        <vertAlign val="baseline"/>
        <sz val="7.5"/>
        <color auto="1"/>
        <name val="Verdana"/>
        <scheme val="none"/>
      </font>
      <numFmt numFmtId="170" formatCode="_-&quot;CHF&quot;\ * #,##0_-;\-&quot;CHF&quot;\ * #,##0_-;_-&quot;CHF&quot;\ * &quot;-&quot;??_-;_-@_-"/>
      <alignment horizontal="right" vertical="bottom" textRotation="0" wrapText="0" indent="0" justifyLastLine="0" shrinkToFit="0" readingOrder="0"/>
    </dxf>
    <dxf>
      <font>
        <b val="0"/>
        <i val="0"/>
        <strike val="0"/>
        <condense val="0"/>
        <extend val="0"/>
        <outline val="0"/>
        <shadow val="0"/>
        <u val="none"/>
        <vertAlign val="baseline"/>
        <sz val="7.5"/>
        <color auto="1"/>
        <name val="Verdana"/>
        <scheme val="none"/>
      </font>
      <numFmt numFmtId="170" formatCode="_-&quot;CHF&quot;\ * #,##0_-;\-&quot;CHF&quot;\ * #,##0_-;_-&quot;CHF&quot;\ * &quot;-&quot;??_-;_-@_-"/>
      <alignment horizontal="right" vertical="bottom" textRotation="0" wrapText="0" indent="0" justifyLastLine="0" shrinkToFit="0" readingOrder="0"/>
    </dxf>
    <dxf>
      <font>
        <b val="0"/>
        <i val="0"/>
        <strike val="0"/>
        <condense val="0"/>
        <extend val="0"/>
        <outline val="0"/>
        <shadow val="0"/>
        <u val="none"/>
        <vertAlign val="baseline"/>
        <sz val="7.5"/>
        <color auto="1"/>
        <name val="Verdana"/>
        <scheme val="none"/>
      </font>
    </dxf>
    <dxf>
      <font>
        <strike val="0"/>
        <outline val="0"/>
        <shadow val="0"/>
        <u val="none"/>
        <vertAlign val="baseline"/>
        <sz val="7.5"/>
        <color auto="1"/>
        <name val="Verdana"/>
        <scheme val="none"/>
      </font>
    </dxf>
    <dxf>
      <font>
        <strike val="0"/>
        <outline val="0"/>
        <shadow val="0"/>
        <u val="none"/>
        <vertAlign val="baseline"/>
        <sz val="7.5"/>
        <color auto="1"/>
        <name val="Verdana"/>
        <scheme val="none"/>
      </font>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ont>
        <b/>
        <i val="0"/>
        <color rgb="FFFFC000"/>
      </font>
    </dxf>
    <dxf>
      <font>
        <b/>
        <i val="0"/>
        <color rgb="FFFF0000"/>
      </font>
    </dxf>
    <dxf>
      <font>
        <b/>
        <i val="0"/>
        <color rgb="FF00B050"/>
      </font>
    </dxf>
    <dxf>
      <font>
        <b/>
        <i val="0"/>
        <color rgb="FFFFC000"/>
      </font>
    </dxf>
    <dxf>
      <font>
        <b/>
        <i val="0"/>
        <color rgb="FFFF0000"/>
      </font>
    </dxf>
    <dxf>
      <font>
        <b/>
        <i val="0"/>
        <color rgb="FF00B050"/>
      </font>
    </dxf>
    <dxf>
      <font>
        <b/>
        <i val="0"/>
        <color rgb="FFFFC000"/>
      </font>
    </dxf>
    <dxf>
      <font>
        <b/>
        <i val="0"/>
        <color rgb="FFFF0000"/>
      </font>
    </dxf>
    <dxf>
      <font>
        <b/>
        <i val="0"/>
        <color rgb="FF00B050"/>
      </font>
    </dxf>
    <dxf>
      <font>
        <b/>
        <i val="0"/>
        <color rgb="FFFFC000"/>
      </font>
    </dxf>
    <dxf>
      <font>
        <b/>
        <i val="0"/>
        <color rgb="FFFF0000"/>
      </font>
    </dxf>
    <dxf>
      <font>
        <b/>
        <i val="0"/>
        <color rgb="FF00B050"/>
      </font>
    </dxf>
    <dxf>
      <font>
        <b/>
        <i val="0"/>
        <color rgb="FFFFC000"/>
      </font>
    </dxf>
    <dxf>
      <font>
        <b/>
        <i val="0"/>
        <color rgb="FFFF0000"/>
      </font>
    </dxf>
    <dxf>
      <font>
        <b/>
        <i val="0"/>
        <color rgb="FF00B050"/>
      </font>
    </dxf>
    <dxf>
      <font>
        <b/>
        <i val="0"/>
        <color rgb="FFFF0000"/>
      </font>
    </dxf>
    <dxf>
      <font>
        <b/>
        <i val="0"/>
        <color rgb="FF00B050"/>
      </font>
    </dxf>
    <dxf>
      <font>
        <b/>
        <i val="0"/>
        <color rgb="FFFFC000"/>
      </font>
    </dxf>
    <dxf>
      <font>
        <b/>
        <i val="0"/>
        <color rgb="FFFF0000"/>
      </font>
    </dxf>
    <dxf>
      <font>
        <b/>
        <i val="0"/>
        <color rgb="FF00B050"/>
      </font>
    </dxf>
    <dxf>
      <font>
        <b val="0"/>
        <i val="0"/>
        <strike val="0"/>
        <condense val="0"/>
        <extend val="0"/>
        <outline val="0"/>
        <shadow val="0"/>
        <u val="none"/>
        <vertAlign val="baseline"/>
        <sz val="10"/>
        <color auto="1"/>
        <name val="Verdana"/>
        <scheme val="none"/>
      </font>
      <numFmt numFmtId="168" formatCode="0\60000"/>
      <fill>
        <patternFill patternType="solid">
          <fgColor indexed="64"/>
          <bgColor indexed="9"/>
        </patternFill>
      </fill>
      <alignment horizontal="general" vertical="center" textRotation="0" wrapText="0" relativeIndent="0" justifyLastLine="0" shrinkToFit="0" readingOrder="0"/>
    </dxf>
    <dxf>
      <font>
        <b val="0"/>
        <i val="0"/>
        <strike val="0"/>
        <condense val="0"/>
        <extend val="0"/>
        <outline val="0"/>
        <shadow val="0"/>
        <u val="none"/>
        <vertAlign val="baseline"/>
        <sz val="10"/>
        <color auto="1"/>
        <name val="Verdana"/>
        <scheme val="none"/>
      </font>
      <fill>
        <patternFill patternType="solid">
          <fgColor indexed="64"/>
          <bgColor indexed="9"/>
        </patternFill>
      </fill>
      <alignment horizontal="general" vertical="center" textRotation="0" wrapText="0" relativeIndent="0" justifyLastLine="0" shrinkToFit="0" readingOrder="0"/>
    </dxf>
    <dxf>
      <font>
        <b/>
        <i val="0"/>
        <strike val="0"/>
        <condense val="0"/>
        <extend val="0"/>
        <outline val="0"/>
        <shadow val="0"/>
        <u val="none"/>
        <vertAlign val="baseline"/>
        <sz val="10"/>
        <color auto="1"/>
        <name val="Arial"/>
        <scheme val="none"/>
      </font>
      <numFmt numFmtId="168" formatCode="0\60000"/>
      <fill>
        <patternFill patternType="solid">
          <fgColor indexed="64"/>
          <bgColor indexed="9"/>
        </patternFill>
      </fill>
    </dxf>
    <dxf>
      <font>
        <condense val="0"/>
        <extend val="0"/>
        <color indexed="52"/>
      </font>
    </dxf>
    <dxf>
      <font>
        <condense val="0"/>
        <extend val="0"/>
        <color indexed="57"/>
      </font>
    </dxf>
    <dxf>
      <font>
        <b val="0"/>
        <i val="0"/>
        <strike val="0"/>
        <condense val="0"/>
        <extend val="0"/>
        <outline val="0"/>
        <shadow val="0"/>
        <u val="none"/>
        <vertAlign val="baseline"/>
        <sz val="10"/>
        <color auto="1"/>
        <name val="Verdana"/>
        <scheme val="none"/>
      </font>
      <numFmt numFmtId="168" formatCode="0\60000"/>
      <fill>
        <patternFill patternType="none">
          <fgColor indexed="64"/>
          <bgColor indexed="65"/>
        </patternFill>
      </fill>
    </dxf>
    <dxf>
      <font>
        <b val="0"/>
        <i val="0"/>
        <strike val="0"/>
        <condense val="0"/>
        <extend val="0"/>
        <outline val="0"/>
        <shadow val="0"/>
        <u val="none"/>
        <vertAlign val="baseline"/>
        <sz val="10"/>
        <color auto="1"/>
        <name val="Verdana"/>
        <scheme val="none"/>
      </font>
      <fill>
        <patternFill patternType="none">
          <fgColor indexed="64"/>
          <bgColor indexed="65"/>
        </patternFill>
      </fill>
    </dxf>
    <dxf>
      <font>
        <b/>
        <i val="0"/>
        <strike val="0"/>
        <condense val="0"/>
        <extend val="0"/>
        <outline val="0"/>
        <shadow val="0"/>
        <u val="none"/>
        <vertAlign val="baseline"/>
        <sz val="10"/>
        <color auto="1"/>
        <name val="Verdana"/>
        <scheme val="none"/>
      </font>
      <numFmt numFmtId="168" formatCode="0\60000"/>
      <fill>
        <patternFill patternType="solid">
          <fgColor indexed="64"/>
          <bgColor indexed="22"/>
        </patternFill>
      </fill>
    </dxf>
    <dxf>
      <font>
        <condense val="0"/>
        <extend val="0"/>
        <color indexed="52"/>
      </font>
    </dxf>
    <dxf>
      <font>
        <condense val="0"/>
        <extend val="0"/>
        <color indexed="57"/>
      </font>
    </dxf>
  </dxfs>
  <tableStyles count="0" defaultTableStyle="TableStyleMedium2" defaultPivotStyle="PivotStyleLight16"/>
  <colors>
    <mruColors>
      <color rgb="FFF6262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Patrice\Documents\NISSAN\Test%20rapport\Tableau%20de%20bord%20agents%202012%20D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Patrice\Documents\NISSAN\FY13\DBCH%20extract%20FY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
      <sheetName val="Saisonalität"/>
      <sheetName val="Bonus"/>
      <sheetName val="HDL Ziele"/>
      <sheetName val="IST-Umsatz FY12"/>
      <sheetName val="Umsatz Global netto CH FY11"/>
    </sheetNames>
    <sheetDataSet>
      <sheetData sheetId="0"/>
      <sheetData sheetId="1">
        <row r="2">
          <cell r="A2">
            <v>4</v>
          </cell>
          <cell r="B2">
            <v>2012</v>
          </cell>
          <cell r="C2">
            <v>5.8999999999999997E-2</v>
          </cell>
          <cell r="D2">
            <v>5.8999999999999997E-2</v>
          </cell>
        </row>
        <row r="3">
          <cell r="A3">
            <v>5</v>
          </cell>
          <cell r="B3">
            <v>2012</v>
          </cell>
          <cell r="C3">
            <v>0.17599999999999999</v>
          </cell>
          <cell r="D3">
            <v>0.23499999999999999</v>
          </cell>
        </row>
        <row r="4">
          <cell r="A4">
            <v>6</v>
          </cell>
          <cell r="B4">
            <v>2012</v>
          </cell>
          <cell r="C4">
            <v>3.5999999999999997E-2</v>
          </cell>
          <cell r="D4">
            <v>0.27099999999999996</v>
          </cell>
        </row>
        <row r="5">
          <cell r="A5">
            <v>7</v>
          </cell>
          <cell r="B5">
            <v>2012</v>
          </cell>
          <cell r="C5">
            <v>0.113</v>
          </cell>
          <cell r="D5">
            <v>0.38399999999999995</v>
          </cell>
        </row>
        <row r="6">
          <cell r="A6">
            <v>8</v>
          </cell>
          <cell r="B6">
            <v>2012</v>
          </cell>
          <cell r="C6">
            <v>4.7E-2</v>
          </cell>
          <cell r="D6">
            <v>0.43099999999999994</v>
          </cell>
        </row>
        <row r="7">
          <cell r="A7">
            <v>9</v>
          </cell>
          <cell r="B7">
            <v>2012</v>
          </cell>
          <cell r="C7">
            <v>3.7999999999999999E-2</v>
          </cell>
          <cell r="D7">
            <v>0.46899999999999992</v>
          </cell>
        </row>
        <row r="8">
          <cell r="A8">
            <v>10</v>
          </cell>
          <cell r="B8">
            <v>2012</v>
          </cell>
          <cell r="C8">
            <v>0.17199999999999999</v>
          </cell>
          <cell r="D8">
            <v>0.6409999999999999</v>
          </cell>
        </row>
        <row r="9">
          <cell r="A9">
            <v>11</v>
          </cell>
          <cell r="B9">
            <v>2012</v>
          </cell>
          <cell r="C9">
            <v>6.2E-2</v>
          </cell>
          <cell r="D9">
            <v>0.70299999999999985</v>
          </cell>
        </row>
        <row r="10">
          <cell r="A10">
            <v>12</v>
          </cell>
          <cell r="B10">
            <v>2012</v>
          </cell>
          <cell r="C10">
            <v>5.5E-2</v>
          </cell>
          <cell r="D10">
            <v>0.7579999999999999</v>
          </cell>
        </row>
        <row r="11">
          <cell r="A11">
            <v>1</v>
          </cell>
          <cell r="B11">
            <v>2013</v>
          </cell>
          <cell r="C11">
            <v>5.5E-2</v>
          </cell>
          <cell r="D11">
            <v>0.81299999999999994</v>
          </cell>
        </row>
        <row r="12">
          <cell r="A12">
            <v>2</v>
          </cell>
          <cell r="B12">
            <v>2013</v>
          </cell>
          <cell r="C12">
            <v>0.14000000000000001</v>
          </cell>
          <cell r="D12">
            <v>0.95299999999999996</v>
          </cell>
        </row>
        <row r="13">
          <cell r="A13">
            <v>3</v>
          </cell>
          <cell r="B13">
            <v>2013</v>
          </cell>
          <cell r="C13">
            <v>4.7E-2</v>
          </cell>
          <cell r="D13">
            <v>1</v>
          </cell>
        </row>
      </sheetData>
      <sheetData sheetId="2"/>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ort"/>
      <sheetName val="Pivot groupes DR"/>
      <sheetName val="Evolution DC FY13"/>
      <sheetName val="DC FY13"/>
    </sheetNames>
    <sheetDataSet>
      <sheetData sheetId="0"/>
      <sheetData sheetId="1">
        <row r="4">
          <cell r="N4" t="str">
            <v>Trimestre 2 (avr-jun)</v>
          </cell>
          <cell r="S4" t="str">
            <v>Trimestre 3 (juil-sept)</v>
          </cell>
          <cell r="X4" t="str">
            <v>Trimestre 4 (oct-dec)</v>
          </cell>
          <cell r="AC4" t="str">
            <v>Trimestre 1 (jan-mar)</v>
          </cell>
          <cell r="AH4" t="str">
            <v>Total annuel</v>
          </cell>
        </row>
        <row r="5">
          <cell r="N5" t="str">
            <v>Pièces</v>
          </cell>
          <cell r="O5" t="str">
            <v>Accessoires</v>
          </cell>
          <cell r="P5" t="str">
            <v>Roues CA</v>
          </cell>
          <cell r="Q5" t="str">
            <v>Roues qté</v>
          </cell>
          <cell r="R5" t="str">
            <v>CA global net</v>
          </cell>
          <cell r="S5" t="str">
            <v>Pièces</v>
          </cell>
          <cell r="T5" t="str">
            <v>Accessoires</v>
          </cell>
          <cell r="U5" t="str">
            <v>Roues CA</v>
          </cell>
          <cell r="V5" t="str">
            <v>Roues qté</v>
          </cell>
          <cell r="W5" t="str">
            <v>CA global net</v>
          </cell>
          <cell r="X5" t="str">
            <v>Pièces</v>
          </cell>
          <cell r="Y5" t="str">
            <v>Accessoires</v>
          </cell>
          <cell r="Z5" t="str">
            <v>Roues CA</v>
          </cell>
          <cell r="AA5" t="str">
            <v>Roues qté</v>
          </cell>
          <cell r="AB5" t="str">
            <v>CA global net</v>
          </cell>
          <cell r="AC5" t="str">
            <v>Pièces</v>
          </cell>
          <cell r="AD5" t="str">
            <v>Accessoires</v>
          </cell>
          <cell r="AE5" t="str">
            <v>Roues CA</v>
          </cell>
          <cell r="AF5" t="str">
            <v>Roues qté</v>
          </cell>
          <cell r="AG5" t="str">
            <v>CA global net</v>
          </cell>
          <cell r="AH5" t="str">
            <v>Pièces</v>
          </cell>
          <cell r="AI5" t="str">
            <v>Accessoires</v>
          </cell>
          <cell r="AJ5" t="str">
            <v xml:space="preserve"> Roues CA</v>
          </cell>
          <cell r="AK5" t="str">
            <v>Roues qté</v>
          </cell>
          <cell r="AL5" t="str">
            <v>CA global net</v>
          </cell>
        </row>
        <row r="6">
          <cell r="M6">
            <v>19</v>
          </cell>
          <cell r="N6">
            <v>60184.829999999973</v>
          </cell>
          <cell r="O6">
            <v>10339.059999999998</v>
          </cell>
          <cell r="P6">
            <v>0</v>
          </cell>
          <cell r="Q6">
            <v>0</v>
          </cell>
          <cell r="R6">
            <v>181598.94000000018</v>
          </cell>
          <cell r="S6" t="e">
            <v>#REF!</v>
          </cell>
          <cell r="T6" t="e">
            <v>#REF!</v>
          </cell>
          <cell r="U6" t="e">
            <v>#REF!</v>
          </cell>
          <cell r="V6" t="e">
            <v>#REF!</v>
          </cell>
          <cell r="W6" t="e">
            <v>#REF!</v>
          </cell>
          <cell r="X6" t="e">
            <v>#REF!</v>
          </cell>
          <cell r="Y6" t="e">
            <v>#REF!</v>
          </cell>
          <cell r="Z6" t="e">
            <v>#REF!</v>
          </cell>
          <cell r="AA6" t="e">
            <v>#REF!</v>
          </cell>
          <cell r="AB6" t="e">
            <v>#REF!</v>
          </cell>
          <cell r="AC6" t="e">
            <v>#REF!</v>
          </cell>
          <cell r="AD6" t="e">
            <v>#REF!</v>
          </cell>
          <cell r="AE6" t="e">
            <v>#REF!</v>
          </cell>
          <cell r="AF6" t="e">
            <v>#REF!</v>
          </cell>
          <cell r="AG6" t="e">
            <v>#REF!</v>
          </cell>
          <cell r="AH6" t="e">
            <v>#REF!</v>
          </cell>
          <cell r="AI6" t="e">
            <v>#REF!</v>
          </cell>
          <cell r="AJ6" t="e">
            <v>#REF!</v>
          </cell>
          <cell r="AK6" t="e">
            <v>#REF!</v>
          </cell>
          <cell r="AL6" t="e">
            <v>#REF!</v>
          </cell>
        </row>
        <row r="7">
          <cell r="M7">
            <v>32</v>
          </cell>
          <cell r="N7">
            <v>63328.990000000013</v>
          </cell>
          <cell r="O7">
            <v>5663.26</v>
          </cell>
          <cell r="P7">
            <v>0</v>
          </cell>
          <cell r="Q7">
            <v>0</v>
          </cell>
          <cell r="R7">
            <v>214149.82</v>
          </cell>
          <cell r="S7" t="e">
            <v>#REF!</v>
          </cell>
          <cell r="T7" t="e">
            <v>#REF!</v>
          </cell>
          <cell r="U7" t="e">
            <v>#REF!</v>
          </cell>
          <cell r="V7" t="e">
            <v>#REF!</v>
          </cell>
          <cell r="W7" t="e">
            <v>#REF!</v>
          </cell>
          <cell r="X7" t="e">
            <v>#REF!</v>
          </cell>
          <cell r="Y7" t="e">
            <v>#REF!</v>
          </cell>
          <cell r="Z7" t="e">
            <v>#REF!</v>
          </cell>
          <cell r="AA7" t="e">
            <v>#REF!</v>
          </cell>
          <cell r="AB7" t="e">
            <v>#REF!</v>
          </cell>
          <cell r="AC7" t="e">
            <v>#REF!</v>
          </cell>
          <cell r="AD7" t="e">
            <v>#REF!</v>
          </cell>
          <cell r="AE7" t="e">
            <v>#REF!</v>
          </cell>
          <cell r="AF7" t="e">
            <v>#REF!</v>
          </cell>
          <cell r="AG7" t="e">
            <v>#REF!</v>
          </cell>
          <cell r="AH7" t="e">
            <v>#REF!</v>
          </cell>
          <cell r="AI7" t="e">
            <v>#REF!</v>
          </cell>
          <cell r="AJ7" t="e">
            <v>#REF!</v>
          </cell>
          <cell r="AK7" t="e">
            <v>#REF!</v>
          </cell>
          <cell r="AL7" t="e">
            <v>#REF!</v>
          </cell>
        </row>
        <row r="8">
          <cell r="M8">
            <v>40</v>
          </cell>
          <cell r="N8">
            <v>99625.940000000031</v>
          </cell>
          <cell r="O8">
            <v>9755.3200000000033</v>
          </cell>
          <cell r="P8">
            <v>0</v>
          </cell>
          <cell r="Q8">
            <v>0</v>
          </cell>
          <cell r="R8">
            <v>294756.67000000039</v>
          </cell>
          <cell r="S8" t="e">
            <v>#REF!</v>
          </cell>
          <cell r="T8" t="e">
            <v>#REF!</v>
          </cell>
          <cell r="U8" t="e">
            <v>#REF!</v>
          </cell>
          <cell r="V8" t="e">
            <v>#REF!</v>
          </cell>
          <cell r="W8" t="e">
            <v>#REF!</v>
          </cell>
          <cell r="X8" t="e">
            <v>#REF!</v>
          </cell>
          <cell r="Y8" t="e">
            <v>#REF!</v>
          </cell>
          <cell r="Z8" t="e">
            <v>#REF!</v>
          </cell>
          <cell r="AA8" t="e">
            <v>#REF!</v>
          </cell>
          <cell r="AB8" t="e">
            <v>#REF!</v>
          </cell>
          <cell r="AC8" t="e">
            <v>#REF!</v>
          </cell>
          <cell r="AD8" t="e">
            <v>#REF!</v>
          </cell>
          <cell r="AE8" t="e">
            <v>#REF!</v>
          </cell>
          <cell r="AF8" t="e">
            <v>#REF!</v>
          </cell>
          <cell r="AG8" t="e">
            <v>#REF!</v>
          </cell>
          <cell r="AH8" t="e">
            <v>#REF!</v>
          </cell>
          <cell r="AI8" t="e">
            <v>#REF!</v>
          </cell>
          <cell r="AJ8" t="e">
            <v>#REF!</v>
          </cell>
          <cell r="AK8" t="e">
            <v>#REF!</v>
          </cell>
          <cell r="AL8" t="e">
            <v>#REF!</v>
          </cell>
        </row>
        <row r="9">
          <cell r="M9">
            <v>85</v>
          </cell>
          <cell r="N9">
            <v>76581.599999999991</v>
          </cell>
          <cell r="O9">
            <v>19658.47</v>
          </cell>
          <cell r="P9">
            <v>0</v>
          </cell>
          <cell r="Q9">
            <v>0</v>
          </cell>
          <cell r="R9">
            <v>256155.50999999995</v>
          </cell>
          <cell r="S9" t="e">
            <v>#REF!</v>
          </cell>
          <cell r="T9" t="e">
            <v>#REF!</v>
          </cell>
          <cell r="U9" t="e">
            <v>#REF!</v>
          </cell>
          <cell r="V9" t="e">
            <v>#REF!</v>
          </cell>
          <cell r="W9" t="e">
            <v>#REF!</v>
          </cell>
          <cell r="X9" t="e">
            <v>#REF!</v>
          </cell>
          <cell r="Y9" t="e">
            <v>#REF!</v>
          </cell>
          <cell r="Z9" t="e">
            <v>#REF!</v>
          </cell>
          <cell r="AA9" t="e">
            <v>#REF!</v>
          </cell>
          <cell r="AB9" t="e">
            <v>#REF!</v>
          </cell>
          <cell r="AC9" t="e">
            <v>#REF!</v>
          </cell>
          <cell r="AD9" t="e">
            <v>#REF!</v>
          </cell>
          <cell r="AE9" t="e">
            <v>#REF!</v>
          </cell>
          <cell r="AF9" t="e">
            <v>#REF!</v>
          </cell>
          <cell r="AG9" t="e">
            <v>#REF!</v>
          </cell>
          <cell r="AH9" t="e">
            <v>#REF!</v>
          </cell>
          <cell r="AI9" t="e">
            <v>#REF!</v>
          </cell>
          <cell r="AJ9" t="e">
            <v>#REF!</v>
          </cell>
          <cell r="AK9" t="e">
            <v>#REF!</v>
          </cell>
          <cell r="AL9" t="e">
            <v>#REF!</v>
          </cell>
        </row>
        <row r="10">
          <cell r="M10">
            <v>263</v>
          </cell>
          <cell r="N10">
            <v>65164.950000000026</v>
          </cell>
          <cell r="O10">
            <v>6291.9999999999991</v>
          </cell>
          <cell r="P10">
            <v>0</v>
          </cell>
          <cell r="Q10">
            <v>0</v>
          </cell>
          <cell r="R10">
            <v>168756.11000000004</v>
          </cell>
          <cell r="S10" t="e">
            <v>#REF!</v>
          </cell>
          <cell r="T10" t="e">
            <v>#REF!</v>
          </cell>
          <cell r="U10" t="e">
            <v>#REF!</v>
          </cell>
          <cell r="V10" t="e">
            <v>#REF!</v>
          </cell>
          <cell r="W10" t="e">
            <v>#REF!</v>
          </cell>
          <cell r="X10" t="e">
            <v>#REF!</v>
          </cell>
          <cell r="Y10" t="e">
            <v>#REF!</v>
          </cell>
          <cell r="Z10" t="e">
            <v>#REF!</v>
          </cell>
          <cell r="AA10" t="e">
            <v>#REF!</v>
          </cell>
          <cell r="AB10" t="e">
            <v>#REF!</v>
          </cell>
          <cell r="AC10" t="e">
            <v>#REF!</v>
          </cell>
          <cell r="AD10" t="e">
            <v>#REF!</v>
          </cell>
          <cell r="AE10" t="e">
            <v>#REF!</v>
          </cell>
          <cell r="AF10" t="e">
            <v>#REF!</v>
          </cell>
          <cell r="AG10" t="e">
            <v>#REF!</v>
          </cell>
          <cell r="AH10" t="e">
            <v>#REF!</v>
          </cell>
          <cell r="AI10" t="e">
            <v>#REF!</v>
          </cell>
          <cell r="AJ10" t="e">
            <v>#REF!</v>
          </cell>
          <cell r="AK10" t="e">
            <v>#REF!</v>
          </cell>
          <cell r="AL10" t="e">
            <v>#REF!</v>
          </cell>
        </row>
        <row r="11">
          <cell r="M11">
            <v>305</v>
          </cell>
          <cell r="N11">
            <v>88637.820000000094</v>
          </cell>
          <cell r="O11">
            <v>17654.309999999994</v>
          </cell>
          <cell r="P11">
            <v>0</v>
          </cell>
          <cell r="Q11">
            <v>0</v>
          </cell>
          <cell r="R11">
            <v>315032.42999999988</v>
          </cell>
          <cell r="S11" t="e">
            <v>#REF!</v>
          </cell>
          <cell r="T11" t="e">
            <v>#REF!</v>
          </cell>
          <cell r="U11" t="e">
            <v>#REF!</v>
          </cell>
          <cell r="V11" t="e">
            <v>#REF!</v>
          </cell>
          <cell r="W11" t="e">
            <v>#REF!</v>
          </cell>
          <cell r="X11" t="e">
            <v>#REF!</v>
          </cell>
          <cell r="Y11" t="e">
            <v>#REF!</v>
          </cell>
          <cell r="Z11" t="e">
            <v>#REF!</v>
          </cell>
          <cell r="AA11" t="e">
            <v>#REF!</v>
          </cell>
          <cell r="AB11" t="e">
            <v>#REF!</v>
          </cell>
          <cell r="AC11" t="e">
            <v>#REF!</v>
          </cell>
          <cell r="AD11" t="e">
            <v>#REF!</v>
          </cell>
          <cell r="AE11" t="e">
            <v>#REF!</v>
          </cell>
          <cell r="AF11" t="e">
            <v>#REF!</v>
          </cell>
          <cell r="AG11" t="e">
            <v>#REF!</v>
          </cell>
          <cell r="AH11" t="e">
            <v>#REF!</v>
          </cell>
          <cell r="AI11" t="e">
            <v>#REF!</v>
          </cell>
          <cell r="AJ11" t="e">
            <v>#REF!</v>
          </cell>
          <cell r="AK11" t="e">
            <v>#REF!</v>
          </cell>
          <cell r="AL11" t="e">
            <v>#REF!</v>
          </cell>
        </row>
        <row r="12">
          <cell r="M12">
            <v>453</v>
          </cell>
          <cell r="N12">
            <v>25632.609999999997</v>
          </cell>
          <cell r="O12">
            <v>6321.01</v>
          </cell>
          <cell r="P12">
            <v>1364</v>
          </cell>
          <cell r="Q12">
            <v>4</v>
          </cell>
          <cell r="R12">
            <v>106565.15</v>
          </cell>
          <cell r="S12" t="e">
            <v>#REF!</v>
          </cell>
          <cell r="T12" t="e">
            <v>#REF!</v>
          </cell>
          <cell r="U12" t="e">
            <v>#REF!</v>
          </cell>
          <cell r="V12" t="e">
            <v>#REF!</v>
          </cell>
          <cell r="W12" t="e">
            <v>#REF!</v>
          </cell>
          <cell r="X12" t="e">
            <v>#REF!</v>
          </cell>
          <cell r="Y12" t="e">
            <v>#REF!</v>
          </cell>
          <cell r="Z12" t="e">
            <v>#REF!</v>
          </cell>
          <cell r="AA12" t="e">
            <v>#REF!</v>
          </cell>
          <cell r="AB12" t="e">
            <v>#REF!</v>
          </cell>
          <cell r="AC12" t="e">
            <v>#REF!</v>
          </cell>
          <cell r="AD12" t="e">
            <v>#REF!</v>
          </cell>
          <cell r="AE12" t="e">
            <v>#REF!</v>
          </cell>
          <cell r="AF12" t="e">
            <v>#REF!</v>
          </cell>
          <cell r="AG12" t="e">
            <v>#REF!</v>
          </cell>
          <cell r="AH12" t="e">
            <v>#REF!</v>
          </cell>
          <cell r="AI12" t="e">
            <v>#REF!</v>
          </cell>
          <cell r="AJ12" t="e">
            <v>#REF!</v>
          </cell>
          <cell r="AK12" t="e">
            <v>#REF!</v>
          </cell>
          <cell r="AL12" t="e">
            <v>#REF!</v>
          </cell>
        </row>
        <row r="13">
          <cell r="M13">
            <v>459</v>
          </cell>
          <cell r="N13">
            <v>58319.53000000005</v>
          </cell>
          <cell r="O13">
            <v>6280.4700000000021</v>
          </cell>
          <cell r="P13">
            <v>0</v>
          </cell>
          <cell r="Q13">
            <v>0</v>
          </cell>
          <cell r="R13">
            <v>174260.4800000001</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cell r="AI13" t="e">
            <v>#REF!</v>
          </cell>
          <cell r="AJ13" t="e">
            <v>#REF!</v>
          </cell>
          <cell r="AK13" t="e">
            <v>#REF!</v>
          </cell>
          <cell r="AL13" t="e">
            <v>#REF!</v>
          </cell>
        </row>
        <row r="14">
          <cell r="M14">
            <v>487</v>
          </cell>
          <cell r="N14">
            <v>72321.389999999956</v>
          </cell>
          <cell r="O14">
            <v>16985.800000000003</v>
          </cell>
          <cell r="P14">
            <v>0</v>
          </cell>
          <cell r="Q14">
            <v>0</v>
          </cell>
          <cell r="R14">
            <v>230404.42999999993</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cell r="AI14" t="e">
            <v>#REF!</v>
          </cell>
          <cell r="AJ14" t="e">
            <v>#REF!</v>
          </cell>
          <cell r="AK14" t="e">
            <v>#REF!</v>
          </cell>
          <cell r="AL14" t="e">
            <v>#REF!</v>
          </cell>
        </row>
        <row r="15">
          <cell r="M15">
            <v>497</v>
          </cell>
          <cell r="N15">
            <v>61640.969999999987</v>
          </cell>
          <cell r="O15">
            <v>13440.329999999994</v>
          </cell>
          <cell r="P15">
            <v>784</v>
          </cell>
          <cell r="Q15">
            <v>4</v>
          </cell>
          <cell r="R15">
            <v>254837.4800000003</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cell r="AI15" t="e">
            <v>#REF!</v>
          </cell>
          <cell r="AJ15" t="e">
            <v>#REF!</v>
          </cell>
          <cell r="AK15" t="e">
            <v>#REF!</v>
          </cell>
          <cell r="AL15" t="e">
            <v>#REF!</v>
          </cell>
        </row>
        <row r="16">
          <cell r="M16">
            <v>499</v>
          </cell>
          <cell r="N16">
            <v>106997.99000000015</v>
          </cell>
          <cell r="O16">
            <v>12346.62</v>
          </cell>
          <cell r="P16">
            <v>1364</v>
          </cell>
          <cell r="Q16">
            <v>4</v>
          </cell>
          <cell r="R16">
            <v>440267.19000000006</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cell r="AI16" t="e">
            <v>#REF!</v>
          </cell>
          <cell r="AJ16" t="e">
            <v>#REF!</v>
          </cell>
          <cell r="AK16" t="e">
            <v>#REF!</v>
          </cell>
          <cell r="AL16" t="e">
            <v>#REF!</v>
          </cell>
        </row>
        <row r="17">
          <cell r="M17">
            <v>541</v>
          </cell>
          <cell r="N17">
            <v>89822.56</v>
          </cell>
          <cell r="O17">
            <v>27064.310000000005</v>
          </cell>
          <cell r="P17">
            <v>0</v>
          </cell>
          <cell r="Q17">
            <v>0</v>
          </cell>
          <cell r="R17">
            <v>418547.60000000091</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cell r="AI17" t="e">
            <v>#REF!</v>
          </cell>
          <cell r="AJ17" t="e">
            <v>#REF!</v>
          </cell>
          <cell r="AK17" t="e">
            <v>#REF!</v>
          </cell>
          <cell r="AL17" t="e">
            <v>#REF!</v>
          </cell>
        </row>
        <row r="18">
          <cell r="M18">
            <v>629</v>
          </cell>
          <cell r="N18">
            <v>107575.35999999993</v>
          </cell>
          <cell r="O18">
            <v>21419.83</v>
          </cell>
          <cell r="P18">
            <v>0</v>
          </cell>
          <cell r="Q18">
            <v>0</v>
          </cell>
          <cell r="R18">
            <v>382057.86</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cell r="AI18" t="e">
            <v>#REF!</v>
          </cell>
          <cell r="AJ18" t="e">
            <v>#REF!</v>
          </cell>
          <cell r="AK18" t="e">
            <v>#REF!</v>
          </cell>
          <cell r="AL18" t="e">
            <v>#REF!</v>
          </cell>
        </row>
        <row r="19">
          <cell r="M19">
            <v>712</v>
          </cell>
          <cell r="N19">
            <v>28242.7</v>
          </cell>
          <cell r="O19">
            <v>15220.28</v>
          </cell>
          <cell r="P19">
            <v>0</v>
          </cell>
          <cell r="Q19">
            <v>0</v>
          </cell>
          <cell r="R19">
            <v>142804.31000000017</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cell r="AI19" t="e">
            <v>#REF!</v>
          </cell>
          <cell r="AJ19" t="e">
            <v>#REF!</v>
          </cell>
          <cell r="AK19" t="e">
            <v>#REF!</v>
          </cell>
          <cell r="AL19" t="e">
            <v>#REF!</v>
          </cell>
        </row>
      </sheetData>
      <sheetData sheetId="2">
        <row r="2">
          <cell r="B2">
            <v>60019</v>
          </cell>
          <cell r="C2">
            <v>60032</v>
          </cell>
          <cell r="D2">
            <v>60040</v>
          </cell>
          <cell r="E2">
            <v>60085</v>
          </cell>
          <cell r="F2">
            <v>60263</v>
          </cell>
          <cell r="G2">
            <v>60305</v>
          </cell>
          <cell r="H2">
            <v>60453</v>
          </cell>
          <cell r="I2">
            <v>60459</v>
          </cell>
          <cell r="J2">
            <v>60487</v>
          </cell>
          <cell r="K2">
            <v>60497</v>
          </cell>
          <cell r="L2">
            <v>60499</v>
          </cell>
          <cell r="M2">
            <v>60541</v>
          </cell>
          <cell r="N2">
            <v>60629</v>
          </cell>
          <cell r="O2">
            <v>60712</v>
          </cell>
          <cell r="P2" t="str">
            <v>(vide)</v>
          </cell>
        </row>
        <row r="3">
          <cell r="A3" t="str">
            <v>Pièces</v>
          </cell>
          <cell r="B3">
            <v>60184.83</v>
          </cell>
          <cell r="C3">
            <v>63328.99000000002</v>
          </cell>
          <cell r="D3">
            <v>99625.939999999988</v>
          </cell>
          <cell r="E3">
            <v>76581.600000000006</v>
          </cell>
          <cell r="F3">
            <v>65164.95</v>
          </cell>
          <cell r="G3">
            <v>88637.82</v>
          </cell>
          <cell r="H3">
            <v>25632.61</v>
          </cell>
          <cell r="I3">
            <v>58319.530000000006</v>
          </cell>
          <cell r="J3">
            <v>72321.39</v>
          </cell>
          <cell r="K3">
            <v>61640.969999999994</v>
          </cell>
          <cell r="L3">
            <v>106997.99</v>
          </cell>
          <cell r="M3">
            <v>89822.560000000027</v>
          </cell>
          <cell r="N3">
            <v>107575.36</v>
          </cell>
          <cell r="O3">
            <v>28242.7</v>
          </cell>
        </row>
        <row r="4">
          <cell r="A4" t="str">
            <v>ALTERNATEURS ECHANGE</v>
          </cell>
          <cell r="G4">
            <v>331.53999999999996</v>
          </cell>
          <cell r="I4">
            <v>292.36</v>
          </cell>
          <cell r="J4">
            <v>582.70000000000005</v>
          </cell>
          <cell r="L4">
            <v>717.49</v>
          </cell>
        </row>
        <row r="5">
          <cell r="A5" t="str">
            <v>AMORTISSEURS</v>
          </cell>
          <cell r="B5">
            <v>1977.4400000000003</v>
          </cell>
          <cell r="C5">
            <v>4080.309999999999</v>
          </cell>
          <cell r="D5">
            <v>3403.13</v>
          </cell>
          <cell r="E5">
            <v>2030.8499999999997</v>
          </cell>
          <cell r="F5">
            <v>2138.1699999999996</v>
          </cell>
          <cell r="G5">
            <v>2011.4999999999995</v>
          </cell>
          <cell r="H5">
            <v>1455.72</v>
          </cell>
          <cell r="I5">
            <v>1693.73</v>
          </cell>
          <cell r="J5">
            <v>1698.0000000000002</v>
          </cell>
          <cell r="K5">
            <v>1410.42</v>
          </cell>
          <cell r="L5">
            <v>1317.8899999999999</v>
          </cell>
          <cell r="M5">
            <v>5410.8700000000008</v>
          </cell>
          <cell r="N5">
            <v>2474.88</v>
          </cell>
          <cell r="O5">
            <v>1191.8800000000001</v>
          </cell>
        </row>
        <row r="6">
          <cell r="A6" t="str">
            <v>AMPOULES</v>
          </cell>
          <cell r="B6">
            <v>162.03</v>
          </cell>
          <cell r="C6">
            <v>366.81000000000006</v>
          </cell>
          <cell r="D6">
            <v>277.41999999999996</v>
          </cell>
          <cell r="E6">
            <v>160.08999999999997</v>
          </cell>
          <cell r="F6">
            <v>442.90999999999997</v>
          </cell>
          <cell r="G6">
            <v>397.95</v>
          </cell>
          <cell r="H6">
            <v>49.589999999999996</v>
          </cell>
          <cell r="I6">
            <v>203.26</v>
          </cell>
          <cell r="J6">
            <v>170.72</v>
          </cell>
          <cell r="K6">
            <v>-21.570000000000007</v>
          </cell>
          <cell r="L6">
            <v>449.0100000000001</v>
          </cell>
          <cell r="M6">
            <v>244.39999999999995</v>
          </cell>
          <cell r="N6">
            <v>381.29999999999995</v>
          </cell>
          <cell r="O6">
            <v>119.58</v>
          </cell>
        </row>
        <row r="7">
          <cell r="A7" t="str">
            <v>ARBRE DE TRANSMISSION ECHANGE</v>
          </cell>
          <cell r="C7">
            <v>457.16</v>
          </cell>
          <cell r="G7">
            <v>29.360000000000014</v>
          </cell>
          <cell r="L7">
            <v>476.44</v>
          </cell>
        </row>
        <row r="8">
          <cell r="A8" t="str">
            <v>BALAIS ESSUIE-GLACE</v>
          </cell>
          <cell r="B8">
            <v>2507.3100000000004</v>
          </cell>
          <cell r="C8">
            <v>1170.0799999999997</v>
          </cell>
          <cell r="D8">
            <v>2639.43</v>
          </cell>
          <cell r="E8">
            <v>5622.2999999999975</v>
          </cell>
          <cell r="F8">
            <v>2721.17</v>
          </cell>
          <cell r="G8">
            <v>6872.65</v>
          </cell>
          <cell r="H8">
            <v>575.42000000000007</v>
          </cell>
          <cell r="I8">
            <v>1456.7599999999998</v>
          </cell>
          <cell r="J8">
            <v>4677.3400000000011</v>
          </cell>
          <cell r="K8">
            <v>2689.8000000000006</v>
          </cell>
          <cell r="L8">
            <v>6301.5899999999983</v>
          </cell>
          <cell r="M8">
            <v>5033.3599999999988</v>
          </cell>
          <cell r="N8">
            <v>4648.8300000000008</v>
          </cell>
          <cell r="O8">
            <v>519.64</v>
          </cell>
        </row>
        <row r="9">
          <cell r="A9" t="str">
            <v>BATTERIES</v>
          </cell>
          <cell r="B9">
            <v>112.48</v>
          </cell>
          <cell r="C9">
            <v>1798.6899999999998</v>
          </cell>
          <cell r="D9">
            <v>2766.3199999999997</v>
          </cell>
          <cell r="E9">
            <v>1048.3</v>
          </cell>
          <cell r="F9">
            <v>965.66999999999985</v>
          </cell>
          <cell r="G9">
            <v>948.79</v>
          </cell>
          <cell r="H9">
            <v>131.86000000000001</v>
          </cell>
          <cell r="I9">
            <v>444.82</v>
          </cell>
          <cell r="J9">
            <v>1480.69</v>
          </cell>
          <cell r="K9">
            <v>1150.1199999999999</v>
          </cell>
          <cell r="L9">
            <v>3315.7100000000005</v>
          </cell>
          <cell r="M9">
            <v>1001.77</v>
          </cell>
          <cell r="N9">
            <v>2852.13</v>
          </cell>
          <cell r="O9">
            <v>1174.22</v>
          </cell>
        </row>
        <row r="10">
          <cell r="A10" t="str">
            <v>BOUGIES ALLUMAGE</v>
          </cell>
          <cell r="B10">
            <v>1406.1100000000001</v>
          </cell>
          <cell r="C10">
            <v>237.70000000000002</v>
          </cell>
          <cell r="D10">
            <v>1213.8400000000001</v>
          </cell>
          <cell r="E10">
            <v>1891.8700000000001</v>
          </cell>
          <cell r="F10">
            <v>2656.69</v>
          </cell>
          <cell r="G10">
            <v>5339.79</v>
          </cell>
          <cell r="H10">
            <v>156.38000000000002</v>
          </cell>
          <cell r="I10">
            <v>426.90000000000003</v>
          </cell>
          <cell r="J10">
            <v>745.20999999999992</v>
          </cell>
          <cell r="K10">
            <v>268.7</v>
          </cell>
          <cell r="L10">
            <v>1621.6299999999997</v>
          </cell>
          <cell r="M10">
            <v>539.76</v>
          </cell>
          <cell r="N10">
            <v>2580.9800000000005</v>
          </cell>
          <cell r="O10">
            <v>585.18000000000006</v>
          </cell>
        </row>
        <row r="11">
          <cell r="A11" t="str">
            <v>COQUES RETROVISEUR PEINTES</v>
          </cell>
          <cell r="B11">
            <v>2618.1099999999997</v>
          </cell>
          <cell r="C11">
            <v>4736.8099999999986</v>
          </cell>
          <cell r="D11">
            <v>4678.1999999999989</v>
          </cell>
          <cell r="E11">
            <v>4459.7199999999993</v>
          </cell>
          <cell r="F11">
            <v>3273.4199999999996</v>
          </cell>
          <cell r="G11">
            <v>6572.7499999999991</v>
          </cell>
          <cell r="H11">
            <v>3597.7899999999995</v>
          </cell>
          <cell r="I11">
            <v>4694.0899999999983</v>
          </cell>
          <cell r="J11">
            <v>5996.7399999999989</v>
          </cell>
          <cell r="K11">
            <v>5155.7799999999988</v>
          </cell>
          <cell r="L11">
            <v>7040.6199999999981</v>
          </cell>
          <cell r="M11">
            <v>7744.01</v>
          </cell>
          <cell r="N11">
            <v>12859.459999999992</v>
          </cell>
          <cell r="O11">
            <v>4896.6699999999983</v>
          </cell>
        </row>
        <row r="12">
          <cell r="A12" t="str">
            <v>COURROIE CRANTEE</v>
          </cell>
          <cell r="B12">
            <v>108.32</v>
          </cell>
          <cell r="D12">
            <v>1130.0200000000002</v>
          </cell>
          <cell r="E12">
            <v>435.3</v>
          </cell>
          <cell r="G12">
            <v>364.2</v>
          </cell>
          <cell r="J12">
            <v>137.41</v>
          </cell>
          <cell r="K12">
            <v>40.22</v>
          </cell>
          <cell r="L12">
            <v>512.07999999999993</v>
          </cell>
          <cell r="M12">
            <v>81.550000000000011</v>
          </cell>
          <cell r="N12">
            <v>51.39</v>
          </cell>
          <cell r="O12">
            <v>137.41</v>
          </cell>
        </row>
        <row r="13">
          <cell r="A13" t="str">
            <v>COURROIES</v>
          </cell>
          <cell r="B13">
            <v>150.69</v>
          </cell>
          <cell r="C13">
            <v>879.06999999999994</v>
          </cell>
          <cell r="D13">
            <v>2128.9799999999996</v>
          </cell>
          <cell r="E13">
            <v>716.68000000000006</v>
          </cell>
          <cell r="F13">
            <v>1181.9400000000003</v>
          </cell>
          <cell r="G13">
            <v>1661.02</v>
          </cell>
          <cell r="H13">
            <v>242.76999999999998</v>
          </cell>
          <cell r="I13">
            <v>133.18</v>
          </cell>
          <cell r="J13">
            <v>648.7700000000001</v>
          </cell>
          <cell r="K13">
            <v>630.80999999999995</v>
          </cell>
          <cell r="L13">
            <v>1152.1699999999998</v>
          </cell>
          <cell r="M13">
            <v>1135.1200000000001</v>
          </cell>
          <cell r="N13">
            <v>1063.8500000000001</v>
          </cell>
          <cell r="O13">
            <v>267.86</v>
          </cell>
        </row>
        <row r="14">
          <cell r="A14" t="str">
            <v>CVT ECHANGE</v>
          </cell>
          <cell r="B14">
            <v>9715.1200000000008</v>
          </cell>
          <cell r="G14">
            <v>1844.64</v>
          </cell>
          <cell r="I14">
            <v>4673.1000000000004</v>
          </cell>
          <cell r="M14">
            <v>2075.84</v>
          </cell>
        </row>
        <row r="15">
          <cell r="A15" t="str">
            <v>DEMARREURS ECHANGE</v>
          </cell>
          <cell r="B15">
            <v>-251.28</v>
          </cell>
          <cell r="C15">
            <v>661</v>
          </cell>
          <cell r="D15">
            <v>875.13</v>
          </cell>
          <cell r="G15">
            <v>178.41</v>
          </cell>
          <cell r="H15">
            <v>660.99</v>
          </cell>
          <cell r="I15">
            <v>172.35</v>
          </cell>
          <cell r="L15">
            <v>1103.18</v>
          </cell>
          <cell r="M15">
            <v>448.01</v>
          </cell>
        </row>
        <row r="16">
          <cell r="A16" t="str">
            <v>DIRECTION ASSISTEE ECHANGE</v>
          </cell>
          <cell r="C16">
            <v>818.62</v>
          </cell>
          <cell r="D16">
            <v>613.97</v>
          </cell>
          <cell r="M16">
            <v>368.38</v>
          </cell>
        </row>
        <row r="17">
          <cell r="A17" t="str">
            <v>DISQUES FREINS</v>
          </cell>
          <cell r="B17">
            <v>3975.5699999999997</v>
          </cell>
          <cell r="C17">
            <v>10251.08</v>
          </cell>
          <cell r="D17">
            <v>16634.490000000002</v>
          </cell>
          <cell r="E17">
            <v>6119.97</v>
          </cell>
          <cell r="F17">
            <v>12691.179999999997</v>
          </cell>
          <cell r="G17">
            <v>6068.9599999999973</v>
          </cell>
          <cell r="H17">
            <v>950.06999999999994</v>
          </cell>
          <cell r="I17">
            <v>5012.8999999999996</v>
          </cell>
          <cell r="J17">
            <v>8773.840000000002</v>
          </cell>
          <cell r="K17">
            <v>8175.4399999999987</v>
          </cell>
          <cell r="L17">
            <v>9031.1799999999985</v>
          </cell>
          <cell r="M17">
            <v>7263.9699999999984</v>
          </cell>
          <cell r="N17">
            <v>8067.9</v>
          </cell>
          <cell r="O17">
            <v>2277.2200000000003</v>
          </cell>
        </row>
        <row r="18">
          <cell r="A18" t="str">
            <v>EMBRAYAGE</v>
          </cell>
          <cell r="B18">
            <v>3138.58</v>
          </cell>
          <cell r="C18">
            <v>2395.2400000000002</v>
          </cell>
          <cell r="D18">
            <v>6195.1200000000008</v>
          </cell>
          <cell r="E18">
            <v>4506.72</v>
          </cell>
          <cell r="F18">
            <v>3730.83</v>
          </cell>
          <cell r="G18">
            <v>6632.7000000000007</v>
          </cell>
          <cell r="H18">
            <v>1084.06</v>
          </cell>
          <cell r="I18">
            <v>3801.29</v>
          </cell>
          <cell r="J18">
            <v>2560.6799999999994</v>
          </cell>
          <cell r="K18">
            <v>4115.4999999999991</v>
          </cell>
          <cell r="L18">
            <v>3698.0500000000006</v>
          </cell>
          <cell r="M18">
            <v>2525.62</v>
          </cell>
          <cell r="N18">
            <v>4607.4000000000015</v>
          </cell>
          <cell r="O18">
            <v>1612.4900000000002</v>
          </cell>
        </row>
        <row r="19">
          <cell r="A19" t="str">
            <v>FILTRES AIR</v>
          </cell>
          <cell r="B19">
            <v>571.18000000000006</v>
          </cell>
          <cell r="C19">
            <v>817.31</v>
          </cell>
          <cell r="D19">
            <v>4004.3500000000013</v>
          </cell>
          <cell r="E19">
            <v>1511.6</v>
          </cell>
          <cell r="F19">
            <v>3050.5600000000004</v>
          </cell>
          <cell r="G19">
            <v>2761.09</v>
          </cell>
          <cell r="H19">
            <v>48.8</v>
          </cell>
          <cell r="I19">
            <v>2210.1899999999996</v>
          </cell>
          <cell r="J19">
            <v>2012.8000000000002</v>
          </cell>
          <cell r="K19">
            <v>977.0200000000001</v>
          </cell>
          <cell r="L19">
            <v>1244.4700000000005</v>
          </cell>
          <cell r="M19">
            <v>2834.9900000000007</v>
          </cell>
          <cell r="N19">
            <v>4566.17</v>
          </cell>
          <cell r="O19">
            <v>158.75</v>
          </cell>
        </row>
        <row r="20">
          <cell r="A20" t="str">
            <v>FILTRES CARBURANT</v>
          </cell>
          <cell r="B20">
            <v>188.17000000000002</v>
          </cell>
          <cell r="C20">
            <v>1211.5700000000002</v>
          </cell>
          <cell r="D20">
            <v>1251.05</v>
          </cell>
          <cell r="E20">
            <v>1266.6699999999998</v>
          </cell>
          <cell r="F20">
            <v>951.45</v>
          </cell>
          <cell r="G20">
            <v>1538.64</v>
          </cell>
          <cell r="H20">
            <v>311.63</v>
          </cell>
          <cell r="I20">
            <v>629.86</v>
          </cell>
          <cell r="J20">
            <v>2002.71</v>
          </cell>
          <cell r="K20">
            <v>305.88</v>
          </cell>
          <cell r="L20">
            <v>1024.93</v>
          </cell>
          <cell r="M20">
            <v>1078.83</v>
          </cell>
          <cell r="N20">
            <v>287.5</v>
          </cell>
          <cell r="O20">
            <v>104.27</v>
          </cell>
        </row>
        <row r="21">
          <cell r="A21" t="str">
            <v>FILTRES HABITACLE</v>
          </cell>
          <cell r="B21">
            <v>2503.3599999999997</v>
          </cell>
          <cell r="C21">
            <v>5202.6099999999997</v>
          </cell>
          <cell r="D21">
            <v>6288.4299999999994</v>
          </cell>
          <cell r="E21">
            <v>7052.1799999999985</v>
          </cell>
          <cell r="F21">
            <v>7352.27</v>
          </cell>
          <cell r="G21">
            <v>3970.5400000000004</v>
          </cell>
          <cell r="H21">
            <v>245.34</v>
          </cell>
          <cell r="I21">
            <v>1038.3999999999999</v>
          </cell>
          <cell r="J21">
            <v>4161.2599999999993</v>
          </cell>
          <cell r="K21">
            <v>5536.8000000000011</v>
          </cell>
          <cell r="L21">
            <v>3451.17</v>
          </cell>
          <cell r="M21">
            <v>5464.2399999999989</v>
          </cell>
          <cell r="N21">
            <v>6920.5299999999988</v>
          </cell>
          <cell r="O21">
            <v>571.1099999999999</v>
          </cell>
        </row>
        <row r="22">
          <cell r="A22" t="str">
            <v>FILTRES HUILE</v>
          </cell>
          <cell r="B22">
            <v>1646.3399999999997</v>
          </cell>
          <cell r="C22">
            <v>1780.8000000000002</v>
          </cell>
          <cell r="D22">
            <v>4580.51</v>
          </cell>
          <cell r="E22">
            <v>2467.02</v>
          </cell>
          <cell r="F22">
            <v>4782.12</v>
          </cell>
          <cell r="G22">
            <v>3294.55</v>
          </cell>
          <cell r="H22">
            <v>1090.2</v>
          </cell>
          <cell r="I22">
            <v>1398.42</v>
          </cell>
          <cell r="J22">
            <v>4868.55</v>
          </cell>
          <cell r="K22">
            <v>1802.51</v>
          </cell>
          <cell r="L22">
            <v>1365.2200000000003</v>
          </cell>
          <cell r="M22">
            <v>3477.6000000000004</v>
          </cell>
          <cell r="N22">
            <v>5555.18</v>
          </cell>
          <cell r="O22">
            <v>1087.72</v>
          </cell>
        </row>
        <row r="23">
          <cell r="A23" t="str">
            <v>GARNITURE FREINAGE</v>
          </cell>
          <cell r="B23">
            <v>353.58000000000004</v>
          </cell>
          <cell r="C23">
            <v>630.61</v>
          </cell>
          <cell r="D23">
            <v>570.86</v>
          </cell>
          <cell r="E23">
            <v>508.9</v>
          </cell>
          <cell r="F23">
            <v>90.9</v>
          </cell>
          <cell r="G23">
            <v>242.83</v>
          </cell>
          <cell r="H23">
            <v>53.02</v>
          </cell>
          <cell r="I23">
            <v>663.6400000000001</v>
          </cell>
          <cell r="J23">
            <v>166.66</v>
          </cell>
          <cell r="K23">
            <v>326.69</v>
          </cell>
          <cell r="L23">
            <v>1551.95</v>
          </cell>
          <cell r="M23">
            <v>246.76</v>
          </cell>
          <cell r="N23">
            <v>82.59</v>
          </cell>
          <cell r="O23">
            <v>208.76</v>
          </cell>
        </row>
        <row r="24">
          <cell r="A24" t="str">
            <v>HUILES</v>
          </cell>
          <cell r="B24">
            <v>805.19</v>
          </cell>
          <cell r="C24">
            <v>686.25</v>
          </cell>
          <cell r="D24">
            <v>733.09</v>
          </cell>
          <cell r="E24">
            <v>1443.64</v>
          </cell>
          <cell r="F24">
            <v>220.38</v>
          </cell>
          <cell r="G24">
            <v>3620.6200000000003</v>
          </cell>
          <cell r="H24">
            <v>13.66</v>
          </cell>
          <cell r="I24">
            <v>2958.26</v>
          </cell>
          <cell r="J24">
            <v>933.05000000000018</v>
          </cell>
          <cell r="K24">
            <v>1033.6600000000001</v>
          </cell>
          <cell r="L24">
            <v>10598.49</v>
          </cell>
          <cell r="M24">
            <v>1061.8699999999999</v>
          </cell>
          <cell r="N24">
            <v>9330.7199999999993</v>
          </cell>
          <cell r="O24">
            <v>87.66</v>
          </cell>
        </row>
        <row r="25">
          <cell r="A25" t="str">
            <v>INJECTEUR ECHANGE</v>
          </cell>
          <cell r="B25">
            <v>173.52</v>
          </cell>
          <cell r="C25">
            <v>1636.16</v>
          </cell>
        </row>
        <row r="26">
          <cell r="A26" t="str">
            <v>JOINT ETANCHEITE PARE-BRISE</v>
          </cell>
          <cell r="E26">
            <v>250.32</v>
          </cell>
          <cell r="F26">
            <v>-47.24</v>
          </cell>
          <cell r="J26">
            <v>92.89</v>
          </cell>
          <cell r="K26">
            <v>31.29</v>
          </cell>
          <cell r="L26">
            <v>155.95999999999998</v>
          </cell>
          <cell r="M26">
            <v>1.41</v>
          </cell>
        </row>
        <row r="27">
          <cell r="A27" t="str">
            <v>LAVE-GLACE CONCENTRE</v>
          </cell>
          <cell r="J27">
            <v>16.420000000000002</v>
          </cell>
          <cell r="N27">
            <v>294.72000000000003</v>
          </cell>
        </row>
        <row r="28">
          <cell r="A28" t="str">
            <v>LIQUIDE FREINS</v>
          </cell>
          <cell r="D28">
            <v>1482</v>
          </cell>
          <cell r="F28">
            <v>10.85</v>
          </cell>
          <cell r="G28">
            <v>10.85</v>
          </cell>
          <cell r="I28">
            <v>11.02</v>
          </cell>
          <cell r="J28">
            <v>10.85</v>
          </cell>
          <cell r="M28">
            <v>54.42</v>
          </cell>
        </row>
        <row r="29">
          <cell r="A29" t="str">
            <v>LIQUIDE REFROIDISSEMENT</v>
          </cell>
          <cell r="C29">
            <v>120.25</v>
          </cell>
          <cell r="G29">
            <v>1539.86</v>
          </cell>
          <cell r="J29">
            <v>781.86</v>
          </cell>
          <cell r="L29">
            <v>90.15</v>
          </cell>
          <cell r="M29">
            <v>387.84</v>
          </cell>
          <cell r="N29">
            <v>521.07999999999993</v>
          </cell>
        </row>
        <row r="30">
          <cell r="A30" t="str">
            <v>MOTEUR ECHANGE</v>
          </cell>
          <cell r="B30">
            <v>4330.5200000000004</v>
          </cell>
          <cell r="D30">
            <v>4103.4399999999996</v>
          </cell>
          <cell r="E30">
            <v>4650.5600000000004</v>
          </cell>
          <cell r="J30">
            <v>10017.89</v>
          </cell>
        </row>
        <row r="31">
          <cell r="A31" t="str">
            <v>PARE-BRISE</v>
          </cell>
          <cell r="B31">
            <v>903.21</v>
          </cell>
          <cell r="C31">
            <v>2514.91</v>
          </cell>
          <cell r="D31">
            <v>3924.6799999999994</v>
          </cell>
          <cell r="E31">
            <v>5138.1900000000005</v>
          </cell>
          <cell r="F31">
            <v>1899.99</v>
          </cell>
          <cell r="G31">
            <v>4780.420000000001</v>
          </cell>
          <cell r="H31">
            <v>751.83</v>
          </cell>
          <cell r="I31">
            <v>1160.53</v>
          </cell>
          <cell r="J31">
            <v>1903.26</v>
          </cell>
          <cell r="K31">
            <v>493.01</v>
          </cell>
          <cell r="L31">
            <v>4905.1500000000015</v>
          </cell>
          <cell r="M31">
            <v>6647.8100000000022</v>
          </cell>
          <cell r="N31">
            <v>3459.5300000000007</v>
          </cell>
          <cell r="O31">
            <v>1586.9</v>
          </cell>
        </row>
        <row r="32">
          <cell r="A32" t="str">
            <v>PARE-CHOCS</v>
          </cell>
          <cell r="B32">
            <v>15873.1</v>
          </cell>
          <cell r="C32">
            <v>10319.460000000006</v>
          </cell>
          <cell r="D32">
            <v>16082.640000000003</v>
          </cell>
          <cell r="E32">
            <v>11955.81000000001</v>
          </cell>
          <cell r="F32">
            <v>6947.1799999999994</v>
          </cell>
          <cell r="G32">
            <v>16244.500000000002</v>
          </cell>
          <cell r="H32">
            <v>9112.1400000000012</v>
          </cell>
          <cell r="I32">
            <v>13304.530000000002</v>
          </cell>
          <cell r="J32">
            <v>11490.730000000001</v>
          </cell>
          <cell r="K32">
            <v>18101.599999999999</v>
          </cell>
          <cell r="L32">
            <v>28800.570000000014</v>
          </cell>
          <cell r="M32">
            <v>19864.540000000012</v>
          </cell>
          <cell r="N32">
            <v>22348.780000000006</v>
          </cell>
          <cell r="O32">
            <v>5357.43</v>
          </cell>
        </row>
        <row r="33">
          <cell r="A33" t="str">
            <v>PIECES DIRECTION</v>
          </cell>
          <cell r="B33">
            <v>484.33000000000004</v>
          </cell>
          <cell r="C33">
            <v>261.12</v>
          </cell>
          <cell r="D33">
            <v>610.02</v>
          </cell>
          <cell r="E33">
            <v>1182.29</v>
          </cell>
          <cell r="F33">
            <v>-270.57</v>
          </cell>
          <cell r="G33">
            <v>586.39</v>
          </cell>
          <cell r="H33">
            <v>281.40999999999997</v>
          </cell>
          <cell r="I33">
            <v>611.79</v>
          </cell>
          <cell r="J33">
            <v>161.79000000000002</v>
          </cell>
          <cell r="L33">
            <v>696.99</v>
          </cell>
          <cell r="M33">
            <v>516.0200000000001</v>
          </cell>
          <cell r="N33">
            <v>437.48</v>
          </cell>
          <cell r="O33">
            <v>186.41</v>
          </cell>
        </row>
        <row r="34">
          <cell r="A34" t="str">
            <v>PLAQUETTES FREINS</v>
          </cell>
          <cell r="B34">
            <v>4006.9400000000005</v>
          </cell>
          <cell r="C34">
            <v>4607.0500000000011</v>
          </cell>
          <cell r="D34">
            <v>7392.4000000000005</v>
          </cell>
          <cell r="E34">
            <v>3686.45</v>
          </cell>
          <cell r="F34">
            <v>7591.1500000000024</v>
          </cell>
          <cell r="G34">
            <v>6174.9800000000005</v>
          </cell>
          <cell r="H34">
            <v>546.18999999999994</v>
          </cell>
          <cell r="I34">
            <v>4482.7</v>
          </cell>
          <cell r="J34">
            <v>2593.3000000000002</v>
          </cell>
          <cell r="K34">
            <v>5201.4600000000009</v>
          </cell>
          <cell r="L34">
            <v>7631.7000000000025</v>
          </cell>
          <cell r="M34">
            <v>5990.39</v>
          </cell>
          <cell r="N34">
            <v>6763.21</v>
          </cell>
          <cell r="O34">
            <v>2788.53</v>
          </cell>
        </row>
        <row r="35">
          <cell r="A35" t="str">
            <v>SUSPENSION</v>
          </cell>
          <cell r="B35">
            <v>1979.9199999999998</v>
          </cell>
          <cell r="C35">
            <v>2136.2800000000002</v>
          </cell>
          <cell r="D35">
            <v>2138.09</v>
          </cell>
          <cell r="E35">
            <v>1519.7399999999998</v>
          </cell>
          <cell r="F35">
            <v>1055.25</v>
          </cell>
          <cell r="G35">
            <v>1285.24</v>
          </cell>
          <cell r="H35">
            <v>230.45</v>
          </cell>
          <cell r="I35">
            <v>1568.29</v>
          </cell>
          <cell r="J35">
            <v>1914.52</v>
          </cell>
          <cell r="K35">
            <v>1555.82</v>
          </cell>
          <cell r="L35">
            <v>1441.4</v>
          </cell>
          <cell r="M35">
            <v>1312.2</v>
          </cell>
          <cell r="N35">
            <v>2014.4099999999999</v>
          </cell>
          <cell r="O35">
            <v>794.5</v>
          </cell>
        </row>
        <row r="36">
          <cell r="A36" t="str">
            <v>TAMBOURS FREINS</v>
          </cell>
          <cell r="C36">
            <v>735.2</v>
          </cell>
          <cell r="D36">
            <v>127.42</v>
          </cell>
          <cell r="E36">
            <v>495.09000000000003</v>
          </cell>
          <cell r="G36">
            <v>419.58000000000004</v>
          </cell>
          <cell r="I36">
            <v>127.42</v>
          </cell>
          <cell r="K36">
            <v>-131.26</v>
          </cell>
          <cell r="L36">
            <v>201.6</v>
          </cell>
          <cell r="N36">
            <v>367.6</v>
          </cell>
        </row>
        <row r="37">
          <cell r="A37" t="str">
            <v>TURBO ECHANGE</v>
          </cell>
          <cell r="C37">
            <v>1030.4100000000001</v>
          </cell>
          <cell r="E37">
            <v>979.12</v>
          </cell>
          <cell r="I37">
            <v>977.63</v>
          </cell>
          <cell r="K37">
            <v>2027.5</v>
          </cell>
          <cell r="L37">
            <v>611.95000000000005</v>
          </cell>
          <cell r="M37">
            <v>2060.8200000000002</v>
          </cell>
          <cell r="N37">
            <v>1009.39</v>
          </cell>
          <cell r="O37">
            <v>560.77</v>
          </cell>
        </row>
        <row r="38">
          <cell r="A38" t="str">
            <v>TUYAUX ECHAPPEMENT</v>
          </cell>
          <cell r="B38">
            <v>744.99</v>
          </cell>
          <cell r="C38">
            <v>1786.4299999999998</v>
          </cell>
          <cell r="D38">
            <v>3780.91</v>
          </cell>
          <cell r="E38">
            <v>5482.2200000000012</v>
          </cell>
          <cell r="F38">
            <v>1728.6799999999998</v>
          </cell>
          <cell r="G38">
            <v>2065.17</v>
          </cell>
          <cell r="H38">
            <v>4043.29</v>
          </cell>
          <cell r="I38">
            <v>4172.1100000000006</v>
          </cell>
          <cell r="J38">
            <v>1300.7600000000002</v>
          </cell>
          <cell r="K38">
            <v>763.77</v>
          </cell>
          <cell r="L38">
            <v>6489.2500000000018</v>
          </cell>
          <cell r="M38">
            <v>4950.1599999999989</v>
          </cell>
          <cell r="N38">
            <v>4028.349999999999</v>
          </cell>
          <cell r="O38">
            <v>1967.74</v>
          </cell>
        </row>
        <row r="39">
          <cell r="A39" t="str">
            <v>COMPRESSEUR CLIM. ECHANGE</v>
          </cell>
          <cell r="G39">
            <v>848.3</v>
          </cell>
        </row>
        <row r="40">
          <cell r="A40" t="str">
            <v>POMPE ECHANGE</v>
          </cell>
          <cell r="J40">
            <v>419.99</v>
          </cell>
        </row>
        <row r="41">
          <cell r="A41" t="str">
            <v>Accessoires</v>
          </cell>
          <cell r="B41">
            <v>10339.06</v>
          </cell>
          <cell r="C41">
            <v>5663.26</v>
          </cell>
          <cell r="D41">
            <v>9755.32</v>
          </cell>
          <cell r="E41">
            <v>19658.469999999994</v>
          </cell>
          <cell r="F41">
            <v>6292</v>
          </cell>
          <cell r="G41">
            <v>17654.310000000001</v>
          </cell>
          <cell r="H41">
            <v>6321.01</v>
          </cell>
          <cell r="I41">
            <v>6280.47</v>
          </cell>
          <cell r="J41">
            <v>16985.8</v>
          </cell>
          <cell r="K41">
            <v>13440.329999999998</v>
          </cell>
          <cell r="L41">
            <v>12346.619999999999</v>
          </cell>
          <cell r="M41">
            <v>27064.309999999998</v>
          </cell>
          <cell r="N41">
            <v>21419.83</v>
          </cell>
          <cell r="O41">
            <v>15220.28</v>
          </cell>
        </row>
        <row r="42">
          <cell r="A42" t="str">
            <v>ACCESSOIRES STYLING</v>
          </cell>
          <cell r="B42">
            <v>587.22</v>
          </cell>
          <cell r="C42">
            <v>296</v>
          </cell>
          <cell r="D42">
            <v>590.84</v>
          </cell>
          <cell r="E42">
            <v>176.52</v>
          </cell>
          <cell r="F42">
            <v>98.98</v>
          </cell>
          <cell r="H42">
            <v>287.42</v>
          </cell>
          <cell r="I42">
            <v>246.78</v>
          </cell>
          <cell r="J42">
            <v>126.09</v>
          </cell>
          <cell r="K42">
            <v>1401.07</v>
          </cell>
          <cell r="L42">
            <v>107.17</v>
          </cell>
          <cell r="M42">
            <v>292.73</v>
          </cell>
          <cell r="N42">
            <v>1129.6799999999998</v>
          </cell>
        </row>
        <row r="43">
          <cell r="A43" t="str">
            <v>AIDE PARCAGE</v>
          </cell>
          <cell r="B43">
            <v>731.25</v>
          </cell>
          <cell r="C43">
            <v>294.45</v>
          </cell>
          <cell r="D43">
            <v>416.11</v>
          </cell>
          <cell r="E43">
            <v>162.5</v>
          </cell>
          <cell r="F43">
            <v>252.26</v>
          </cell>
          <cell r="G43">
            <v>741.11</v>
          </cell>
          <cell r="H43">
            <v>29.25</v>
          </cell>
          <cell r="I43">
            <v>325</v>
          </cell>
          <cell r="J43">
            <v>131.94999999999999</v>
          </cell>
          <cell r="L43">
            <v>370.21000000000004</v>
          </cell>
          <cell r="M43">
            <v>488.26</v>
          </cell>
          <cell r="N43">
            <v>35.369999999999997</v>
          </cell>
          <cell r="O43">
            <v>162.5</v>
          </cell>
        </row>
        <row r="44">
          <cell r="A44" t="str">
            <v>ATTELAGES REMORQUE</v>
          </cell>
          <cell r="B44">
            <v>1980.7000000000003</v>
          </cell>
          <cell r="C44">
            <v>1102.0100000000002</v>
          </cell>
          <cell r="D44">
            <v>2625.9300000000003</v>
          </cell>
          <cell r="E44">
            <v>4166.3399999999992</v>
          </cell>
          <cell r="F44">
            <v>657.48</v>
          </cell>
          <cell r="G44">
            <v>3687.19</v>
          </cell>
          <cell r="H44">
            <v>1485.13</v>
          </cell>
          <cell r="I44">
            <v>2783.7400000000002</v>
          </cell>
          <cell r="J44">
            <v>2389.17</v>
          </cell>
          <cell r="K44">
            <v>2131.35</v>
          </cell>
          <cell r="L44">
            <v>1486.0600000000002</v>
          </cell>
          <cell r="M44">
            <v>4743.8000000000011</v>
          </cell>
          <cell r="N44">
            <v>1594.13</v>
          </cell>
          <cell r="O44">
            <v>5988.8400000000011</v>
          </cell>
        </row>
        <row r="45">
          <cell r="A45" t="str">
            <v>AUTRES ACCESSOIRES</v>
          </cell>
          <cell r="B45">
            <v>855.18999999999994</v>
          </cell>
          <cell r="C45">
            <v>514.70000000000005</v>
          </cell>
          <cell r="D45">
            <v>334.78</v>
          </cell>
          <cell r="E45">
            <v>2294.6799999999994</v>
          </cell>
          <cell r="F45">
            <v>755.74999999999989</v>
          </cell>
          <cell r="G45">
            <v>1645.3500000000006</v>
          </cell>
          <cell r="H45">
            <v>83.16</v>
          </cell>
          <cell r="I45">
            <v>740.53</v>
          </cell>
          <cell r="J45">
            <v>1609.7299999999998</v>
          </cell>
          <cell r="K45">
            <v>539.57999999999993</v>
          </cell>
          <cell r="L45">
            <v>922.37</v>
          </cell>
          <cell r="M45">
            <v>2011.27</v>
          </cell>
          <cell r="N45">
            <v>1361.47</v>
          </cell>
          <cell r="O45">
            <v>502.78999999999996</v>
          </cell>
        </row>
        <row r="46">
          <cell r="A46" t="str">
            <v>BACS BEINE</v>
          </cell>
          <cell r="C46">
            <v>1528.27</v>
          </cell>
          <cell r="D46">
            <v>252.12</v>
          </cell>
          <cell r="F46">
            <v>679.45</v>
          </cell>
          <cell r="I46">
            <v>-355.45</v>
          </cell>
          <cell r="J46">
            <v>438.5</v>
          </cell>
          <cell r="K46">
            <v>683.55</v>
          </cell>
          <cell r="L46">
            <v>-328.52</v>
          </cell>
          <cell r="M46">
            <v>1828.0099999999998</v>
          </cell>
          <cell r="N46">
            <v>1971.4</v>
          </cell>
          <cell r="O46">
            <v>579.73</v>
          </cell>
        </row>
        <row r="47">
          <cell r="A47" t="str">
            <v>BAVETTE</v>
          </cell>
          <cell r="B47">
            <v>511.85999999999996</v>
          </cell>
          <cell r="C47">
            <v>807.37999999999988</v>
          </cell>
          <cell r="D47">
            <v>224.23000000000002</v>
          </cell>
          <cell r="E47">
            <v>381.65</v>
          </cell>
          <cell r="F47">
            <v>172.85000000000002</v>
          </cell>
          <cell r="G47">
            <v>514.19000000000005</v>
          </cell>
          <cell r="H47">
            <v>119.02</v>
          </cell>
          <cell r="I47">
            <v>635.70000000000005</v>
          </cell>
          <cell r="J47">
            <v>222.66</v>
          </cell>
          <cell r="K47">
            <v>495.54</v>
          </cell>
          <cell r="L47">
            <v>449.65</v>
          </cell>
          <cell r="M47">
            <v>401.71</v>
          </cell>
          <cell r="N47">
            <v>216.61</v>
          </cell>
          <cell r="O47">
            <v>136.14000000000001</v>
          </cell>
        </row>
        <row r="48">
          <cell r="A48" t="str">
            <v>COFFRES TOIT</v>
          </cell>
          <cell r="B48">
            <v>181.37</v>
          </cell>
          <cell r="C48">
            <v>1022.8299999999999</v>
          </cell>
          <cell r="D48">
            <v>1030.5</v>
          </cell>
          <cell r="E48">
            <v>1180.76</v>
          </cell>
          <cell r="F48">
            <v>375.83</v>
          </cell>
          <cell r="G48">
            <v>1848.3300000000002</v>
          </cell>
          <cell r="H48">
            <v>1113.06</v>
          </cell>
          <cell r="I48">
            <v>1181.3800000000001</v>
          </cell>
          <cell r="J48">
            <v>583.87</v>
          </cell>
          <cell r="K48">
            <v>649.47</v>
          </cell>
          <cell r="L48">
            <v>177.72</v>
          </cell>
          <cell r="M48">
            <v>1538.1200000000001</v>
          </cell>
          <cell r="N48">
            <v>725.79</v>
          </cell>
          <cell r="O48">
            <v>536.38</v>
          </cell>
        </row>
        <row r="49">
          <cell r="A49" t="str">
            <v>DECORATION CHROME</v>
          </cell>
          <cell r="B49">
            <v>268.62</v>
          </cell>
          <cell r="C49">
            <v>25.19</v>
          </cell>
          <cell r="E49">
            <v>442.29999999999995</v>
          </cell>
          <cell r="F49">
            <v>51.41</v>
          </cell>
          <cell r="J49">
            <v>176.26</v>
          </cell>
          <cell r="K49">
            <v>537.24</v>
          </cell>
          <cell r="L49">
            <v>8.94</v>
          </cell>
          <cell r="M49">
            <v>131.55000000000001</v>
          </cell>
        </row>
        <row r="50">
          <cell r="A50" t="str">
            <v>FAISCEAUX ATTELAGE</v>
          </cell>
          <cell r="B50">
            <v>945.16999999999985</v>
          </cell>
          <cell r="C50">
            <v>578.86</v>
          </cell>
          <cell r="D50">
            <v>542.47</v>
          </cell>
          <cell r="E50">
            <v>1507.07</v>
          </cell>
          <cell r="F50">
            <v>235.07999999999998</v>
          </cell>
          <cell r="G50">
            <v>2108.46</v>
          </cell>
          <cell r="H50">
            <v>669.53</v>
          </cell>
          <cell r="I50">
            <v>515.79</v>
          </cell>
          <cell r="J50">
            <v>829.49000000000012</v>
          </cell>
          <cell r="K50">
            <v>411.15999999999997</v>
          </cell>
          <cell r="L50">
            <v>767.13</v>
          </cell>
          <cell r="M50">
            <v>1127.53</v>
          </cell>
          <cell r="N50">
            <v>584.83000000000004</v>
          </cell>
          <cell r="O50">
            <v>2341.9699999999998</v>
          </cell>
        </row>
        <row r="51">
          <cell r="A51" t="str">
            <v>FEUX DE JOUR</v>
          </cell>
          <cell r="B51">
            <v>1045.6199999999999</v>
          </cell>
          <cell r="C51">
            <v>322.10999999999996</v>
          </cell>
          <cell r="D51">
            <v>1736.2800000000002</v>
          </cell>
          <cell r="E51">
            <v>1003.05</v>
          </cell>
          <cell r="F51">
            <v>536.79</v>
          </cell>
          <cell r="G51">
            <v>2405.1799999999998</v>
          </cell>
          <cell r="H51">
            <v>1069.8800000000001</v>
          </cell>
          <cell r="I51">
            <v>810.28</v>
          </cell>
          <cell r="J51">
            <v>2678.2799999999997</v>
          </cell>
          <cell r="K51">
            <v>3456.89</v>
          </cell>
          <cell r="L51">
            <v>2642.75</v>
          </cell>
          <cell r="M51">
            <v>4225.78</v>
          </cell>
          <cell r="N51">
            <v>1722.08</v>
          </cell>
          <cell r="O51">
            <v>1477.9</v>
          </cell>
        </row>
        <row r="52">
          <cell r="A52" t="str">
            <v>HARDTOP</v>
          </cell>
          <cell r="C52">
            <v>-2527.1999999999998</v>
          </cell>
          <cell r="E52">
            <v>1195.76</v>
          </cell>
          <cell r="I52">
            <v>-1701.2699999999998</v>
          </cell>
          <cell r="J52">
            <v>969.48</v>
          </cell>
          <cell r="K52">
            <v>95.46</v>
          </cell>
          <cell r="L52">
            <v>579.5</v>
          </cell>
          <cell r="M52">
            <v>3553.3500000000004</v>
          </cell>
          <cell r="N52">
            <v>95.46</v>
          </cell>
        </row>
        <row r="53">
          <cell r="A53" t="str">
            <v>INTERIEUR</v>
          </cell>
          <cell r="C53">
            <v>730.62</v>
          </cell>
          <cell r="D53">
            <v>137.97999999999999</v>
          </cell>
          <cell r="F53">
            <v>93.61</v>
          </cell>
          <cell r="G53">
            <v>585.32000000000005</v>
          </cell>
          <cell r="I53">
            <v>440.9</v>
          </cell>
          <cell r="J53">
            <v>604.09999999999991</v>
          </cell>
          <cell r="K53">
            <v>298.95999999999998</v>
          </cell>
          <cell r="L53">
            <v>594.5</v>
          </cell>
          <cell r="M53">
            <v>151.54</v>
          </cell>
        </row>
        <row r="54">
          <cell r="A54" t="str">
            <v>JANTES ALU</v>
          </cell>
          <cell r="D54">
            <v>-195.05</v>
          </cell>
          <cell r="E54">
            <v>367.92</v>
          </cell>
          <cell r="F54">
            <v>921.12</v>
          </cell>
          <cell r="H54">
            <v>183.96</v>
          </cell>
          <cell r="L54">
            <v>183.96</v>
          </cell>
          <cell r="M54">
            <v>815.6</v>
          </cell>
          <cell r="N54">
            <v>2718.44</v>
          </cell>
          <cell r="O54">
            <v>780.32</v>
          </cell>
        </row>
        <row r="55">
          <cell r="A55" t="str">
            <v>KITS PERSONNALISATION</v>
          </cell>
          <cell r="J55">
            <v>615.23</v>
          </cell>
          <cell r="M55">
            <v>664.16000000000008</v>
          </cell>
          <cell r="N55">
            <v>1867.4700000000003</v>
          </cell>
          <cell r="O55">
            <v>812.19999999999993</v>
          </cell>
        </row>
        <row r="56">
          <cell r="A56" t="str">
            <v>KITS SECURITE</v>
          </cell>
          <cell r="E56">
            <v>389.39</v>
          </cell>
          <cell r="J56">
            <v>115.2</v>
          </cell>
          <cell r="K56">
            <v>221.6</v>
          </cell>
        </row>
        <row r="57">
          <cell r="A57" t="str">
            <v>OFFROAD</v>
          </cell>
          <cell r="B57">
            <v>1109.93</v>
          </cell>
          <cell r="C57">
            <v>330.6</v>
          </cell>
          <cell r="D57">
            <v>102.06</v>
          </cell>
          <cell r="E57">
            <v>1745.17</v>
          </cell>
          <cell r="F57">
            <v>620.68000000000006</v>
          </cell>
          <cell r="G57">
            <v>1402.8500000000001</v>
          </cell>
          <cell r="H57">
            <v>314</v>
          </cell>
          <cell r="I57">
            <v>-300.68999999999994</v>
          </cell>
          <cell r="J57">
            <v>2941.89</v>
          </cell>
          <cell r="K57">
            <v>374.21999999999997</v>
          </cell>
          <cell r="L57">
            <v>1428.01</v>
          </cell>
          <cell r="M57">
            <v>1218.71</v>
          </cell>
          <cell r="N57">
            <v>1989.81</v>
          </cell>
          <cell r="O57">
            <v>102.06</v>
          </cell>
        </row>
        <row r="58">
          <cell r="A58" t="str">
            <v>SEUILS DE PORTE ILLUMINES+BACS BEINE</v>
          </cell>
          <cell r="E58">
            <v>1144.75</v>
          </cell>
          <cell r="G58">
            <v>474.48999999999995</v>
          </cell>
          <cell r="H58">
            <v>157.72</v>
          </cell>
          <cell r="I58">
            <v>157.79</v>
          </cell>
          <cell r="L58">
            <v>429.46999999999997</v>
          </cell>
          <cell r="M58">
            <v>343.35</v>
          </cell>
          <cell r="N58">
            <v>159.07</v>
          </cell>
        </row>
        <row r="59">
          <cell r="J59">
            <v>78.98</v>
          </cell>
        </row>
        <row r="73">
          <cell r="B73">
            <v>60019</v>
          </cell>
          <cell r="C73">
            <v>60032</v>
          </cell>
          <cell r="D73">
            <v>60040</v>
          </cell>
          <cell r="E73">
            <v>60085</v>
          </cell>
          <cell r="F73">
            <v>60263</v>
          </cell>
          <cell r="G73">
            <v>60305</v>
          </cell>
          <cell r="H73">
            <v>60453</v>
          </cell>
          <cell r="I73">
            <v>60459</v>
          </cell>
          <cell r="J73">
            <v>60487</v>
          </cell>
          <cell r="K73">
            <v>60497</v>
          </cell>
          <cell r="L73">
            <v>60499</v>
          </cell>
          <cell r="M73">
            <v>60541</v>
          </cell>
          <cell r="N73">
            <v>60629</v>
          </cell>
          <cell r="O73">
            <v>60712</v>
          </cell>
          <cell r="P73" t="str">
            <v>Total général</v>
          </cell>
        </row>
        <row r="74">
          <cell r="A74" t="str">
            <v>Pièces</v>
          </cell>
          <cell r="B74">
            <v>60184.829999999994</v>
          </cell>
          <cell r="C74">
            <v>63328.990000000005</v>
          </cell>
          <cell r="D74">
            <v>99625.939999999988</v>
          </cell>
          <cell r="E74">
            <v>76581.600000000006</v>
          </cell>
          <cell r="F74">
            <v>65164.950000000004</v>
          </cell>
          <cell r="G74">
            <v>88637.819999999992</v>
          </cell>
          <cell r="H74">
            <v>25632.610000000004</v>
          </cell>
          <cell r="I74">
            <v>58319.530000000006</v>
          </cell>
          <cell r="J74">
            <v>72321.390000000014</v>
          </cell>
          <cell r="K74">
            <v>61640.97</v>
          </cell>
          <cell r="L74">
            <v>106997.99</v>
          </cell>
          <cell r="M74">
            <v>89822.560000000012</v>
          </cell>
          <cell r="N74">
            <v>107575.35999999999</v>
          </cell>
          <cell r="O74">
            <v>28242.7</v>
          </cell>
          <cell r="P74">
            <v>1004077.2399999999</v>
          </cell>
        </row>
        <row r="75">
          <cell r="A75" t="str">
            <v>ANLASSER AUSTAUSCH</v>
          </cell>
          <cell r="B75">
            <v>-251.28</v>
          </cell>
          <cell r="C75">
            <v>661</v>
          </cell>
          <cell r="D75">
            <v>875.13</v>
          </cell>
          <cell r="G75">
            <v>178.41</v>
          </cell>
          <cell r="H75">
            <v>660.99</v>
          </cell>
          <cell r="I75">
            <v>172.35</v>
          </cell>
          <cell r="L75">
            <v>1103.18</v>
          </cell>
          <cell r="M75">
            <v>448.01</v>
          </cell>
          <cell r="P75">
            <v>3847.79</v>
          </cell>
        </row>
        <row r="76">
          <cell r="A76" t="str">
            <v>ANTRIEBSWELL AUSTAUSCH</v>
          </cell>
          <cell r="C76">
            <v>457.16</v>
          </cell>
          <cell r="G76">
            <v>29.360000000000014</v>
          </cell>
          <cell r="L76">
            <v>476.44</v>
          </cell>
          <cell r="P76">
            <v>962.96</v>
          </cell>
        </row>
        <row r="77">
          <cell r="A77" t="str">
            <v>AUSPUFFROHR</v>
          </cell>
          <cell r="B77">
            <v>744.99</v>
          </cell>
          <cell r="C77">
            <v>1786.4299999999998</v>
          </cell>
          <cell r="D77">
            <v>3780.91</v>
          </cell>
          <cell r="E77">
            <v>5482.2200000000012</v>
          </cell>
          <cell r="F77">
            <v>1728.6799999999998</v>
          </cell>
          <cell r="G77">
            <v>2065.17</v>
          </cell>
          <cell r="H77">
            <v>4043.29</v>
          </cell>
          <cell r="I77">
            <v>4172.1100000000006</v>
          </cell>
          <cell r="J77">
            <v>1300.7600000000002</v>
          </cell>
          <cell r="K77">
            <v>763.77</v>
          </cell>
          <cell r="L77">
            <v>6489.2500000000018</v>
          </cell>
          <cell r="M77">
            <v>4950.1599999999989</v>
          </cell>
          <cell r="N77">
            <v>4028.349999999999</v>
          </cell>
          <cell r="O77">
            <v>1967.74</v>
          </cell>
          <cell r="P77">
            <v>43303.83</v>
          </cell>
        </row>
        <row r="78">
          <cell r="A78" t="str">
            <v>BATTERIE</v>
          </cell>
          <cell r="B78">
            <v>112.48</v>
          </cell>
          <cell r="C78">
            <v>1798.6899999999998</v>
          </cell>
          <cell r="D78">
            <v>2766.3199999999997</v>
          </cell>
          <cell r="E78">
            <v>1048.3</v>
          </cell>
          <cell r="F78">
            <v>965.66999999999985</v>
          </cell>
          <cell r="G78">
            <v>948.79</v>
          </cell>
          <cell r="H78">
            <v>131.86000000000001</v>
          </cell>
          <cell r="I78">
            <v>444.82</v>
          </cell>
          <cell r="J78">
            <v>1480.69</v>
          </cell>
          <cell r="K78">
            <v>1150.1199999999999</v>
          </cell>
          <cell r="L78">
            <v>3315.7100000000005</v>
          </cell>
          <cell r="M78">
            <v>1001.77</v>
          </cell>
          <cell r="N78">
            <v>2852.13</v>
          </cell>
          <cell r="O78">
            <v>1174.22</v>
          </cell>
          <cell r="P78">
            <v>19191.570000000003</v>
          </cell>
        </row>
        <row r="79">
          <cell r="A79" t="str">
            <v>BREMSBACKE</v>
          </cell>
          <cell r="B79">
            <v>353.58000000000004</v>
          </cell>
          <cell r="C79">
            <v>630.61</v>
          </cell>
          <cell r="D79">
            <v>570.86</v>
          </cell>
          <cell r="E79">
            <v>508.9</v>
          </cell>
          <cell r="F79">
            <v>90.9</v>
          </cell>
          <cell r="G79">
            <v>242.83</v>
          </cell>
          <cell r="H79">
            <v>53.02</v>
          </cell>
          <cell r="I79">
            <v>663.6400000000001</v>
          </cell>
          <cell r="J79">
            <v>166.66</v>
          </cell>
          <cell r="K79">
            <v>326.69</v>
          </cell>
          <cell r="L79">
            <v>1551.95</v>
          </cell>
          <cell r="M79">
            <v>246.76</v>
          </cell>
          <cell r="N79">
            <v>82.59</v>
          </cell>
          <cell r="O79">
            <v>208.76</v>
          </cell>
          <cell r="P79">
            <v>5697.7500000000009</v>
          </cell>
        </row>
        <row r="80">
          <cell r="A80" t="str">
            <v>BREMSBELAG</v>
          </cell>
          <cell r="B80">
            <v>4006.9400000000005</v>
          </cell>
          <cell r="C80">
            <v>4607.0500000000011</v>
          </cell>
          <cell r="D80">
            <v>7392.4000000000005</v>
          </cell>
          <cell r="E80">
            <v>3686.45</v>
          </cell>
          <cell r="F80">
            <v>7591.1500000000024</v>
          </cell>
          <cell r="G80">
            <v>6174.9800000000005</v>
          </cell>
          <cell r="H80">
            <v>546.18999999999994</v>
          </cell>
          <cell r="I80">
            <v>4482.7</v>
          </cell>
          <cell r="J80">
            <v>2593.3000000000002</v>
          </cell>
          <cell r="K80">
            <v>5201.4600000000009</v>
          </cell>
          <cell r="L80">
            <v>7631.7000000000025</v>
          </cell>
          <cell r="M80">
            <v>5990.39</v>
          </cell>
          <cell r="N80">
            <v>6763.21</v>
          </cell>
          <cell r="O80">
            <v>2788.53</v>
          </cell>
          <cell r="P80">
            <v>69456.450000000012</v>
          </cell>
        </row>
        <row r="81">
          <cell r="A81" t="str">
            <v>BREMSFLÜSSIGKEIT</v>
          </cell>
          <cell r="D81">
            <v>1482</v>
          </cell>
          <cell r="F81">
            <v>10.85</v>
          </cell>
          <cell r="G81">
            <v>10.85</v>
          </cell>
          <cell r="I81">
            <v>11.02</v>
          </cell>
          <cell r="J81">
            <v>10.85</v>
          </cell>
          <cell r="M81">
            <v>54.42</v>
          </cell>
          <cell r="P81">
            <v>1579.9899999999998</v>
          </cell>
        </row>
        <row r="82">
          <cell r="A82" t="str">
            <v>BREMSSCHEIBE</v>
          </cell>
          <cell r="B82">
            <v>3975.5699999999997</v>
          </cell>
          <cell r="C82">
            <v>10251.08</v>
          </cell>
          <cell r="D82">
            <v>16634.490000000002</v>
          </cell>
          <cell r="E82">
            <v>6119.97</v>
          </cell>
          <cell r="F82">
            <v>12691.179999999997</v>
          </cell>
          <cell r="G82">
            <v>6068.9599999999973</v>
          </cell>
          <cell r="H82">
            <v>950.06999999999994</v>
          </cell>
          <cell r="I82">
            <v>5012.8999999999996</v>
          </cell>
          <cell r="J82">
            <v>8773.840000000002</v>
          </cell>
          <cell r="K82">
            <v>8175.4399999999987</v>
          </cell>
          <cell r="L82">
            <v>9031.1799999999985</v>
          </cell>
          <cell r="M82">
            <v>7263.9699999999984</v>
          </cell>
          <cell r="N82">
            <v>8067.9</v>
          </cell>
          <cell r="O82">
            <v>2277.2200000000003</v>
          </cell>
          <cell r="P82">
            <v>105293.76999999999</v>
          </cell>
        </row>
        <row r="83">
          <cell r="A83" t="str">
            <v>BREMSTROMMEL</v>
          </cell>
          <cell r="C83">
            <v>735.2</v>
          </cell>
          <cell r="D83">
            <v>127.42</v>
          </cell>
          <cell r="E83">
            <v>495.09000000000003</v>
          </cell>
          <cell r="G83">
            <v>419.58000000000004</v>
          </cell>
          <cell r="I83">
            <v>127.42</v>
          </cell>
          <cell r="K83">
            <v>-131.26</v>
          </cell>
          <cell r="L83">
            <v>201.6</v>
          </cell>
          <cell r="N83">
            <v>367.6</v>
          </cell>
          <cell r="P83">
            <v>2342.65</v>
          </cell>
        </row>
        <row r="84">
          <cell r="A84" t="str">
            <v>CVT AUSTAUSCH</v>
          </cell>
          <cell r="B84">
            <v>9715.1200000000008</v>
          </cell>
          <cell r="G84">
            <v>1844.64</v>
          </cell>
          <cell r="I84">
            <v>4673.1000000000004</v>
          </cell>
          <cell r="M84">
            <v>2075.84</v>
          </cell>
          <cell r="P84">
            <v>18308.7</v>
          </cell>
        </row>
        <row r="85">
          <cell r="A85" t="str">
            <v>EINSPRITZDÜSEN AUSTAUSCH</v>
          </cell>
          <cell r="B85">
            <v>173.52</v>
          </cell>
          <cell r="C85">
            <v>1636.16</v>
          </cell>
          <cell r="P85">
            <v>1809.68</v>
          </cell>
        </row>
        <row r="86">
          <cell r="A86" t="str">
            <v>FEDERBEIN</v>
          </cell>
          <cell r="C86">
            <v>159.43</v>
          </cell>
          <cell r="D86">
            <v>230.83</v>
          </cell>
          <cell r="I86">
            <v>237.9</v>
          </cell>
          <cell r="P86">
            <v>628.16</v>
          </cell>
        </row>
        <row r="87">
          <cell r="A87" t="str">
            <v>GLÜHLAMPE</v>
          </cell>
          <cell r="B87">
            <v>162.03</v>
          </cell>
          <cell r="C87">
            <v>366.81000000000006</v>
          </cell>
          <cell r="D87">
            <v>277.41999999999996</v>
          </cell>
          <cell r="E87">
            <v>160.08999999999997</v>
          </cell>
          <cell r="F87">
            <v>442.90999999999997</v>
          </cell>
          <cell r="G87">
            <v>397.95</v>
          </cell>
          <cell r="H87">
            <v>49.589999999999996</v>
          </cell>
          <cell r="I87">
            <v>203.26</v>
          </cell>
          <cell r="J87">
            <v>170.72</v>
          </cell>
          <cell r="K87">
            <v>-21.570000000000007</v>
          </cell>
          <cell r="L87">
            <v>449.0100000000001</v>
          </cell>
          <cell r="M87">
            <v>244.39999999999995</v>
          </cell>
          <cell r="N87">
            <v>381.29999999999995</v>
          </cell>
          <cell r="O87">
            <v>119.58</v>
          </cell>
          <cell r="P87">
            <v>3403.4999999999991</v>
          </cell>
        </row>
        <row r="88">
          <cell r="A88" t="str">
            <v>KEILRIEHMEN</v>
          </cell>
          <cell r="B88">
            <v>150.69</v>
          </cell>
          <cell r="C88">
            <v>879.06999999999994</v>
          </cell>
          <cell r="D88">
            <v>2128.9799999999996</v>
          </cell>
          <cell r="E88">
            <v>716.68000000000006</v>
          </cell>
          <cell r="F88">
            <v>1181.9400000000003</v>
          </cell>
          <cell r="G88">
            <v>1661.02</v>
          </cell>
          <cell r="H88">
            <v>242.76999999999998</v>
          </cell>
          <cell r="I88">
            <v>133.18</v>
          </cell>
          <cell r="J88">
            <v>648.7700000000001</v>
          </cell>
          <cell r="K88">
            <v>630.80999999999995</v>
          </cell>
          <cell r="L88">
            <v>1152.1699999999998</v>
          </cell>
          <cell r="M88">
            <v>1135.1200000000001</v>
          </cell>
          <cell r="N88">
            <v>1063.8500000000001</v>
          </cell>
          <cell r="O88">
            <v>267.86</v>
          </cell>
          <cell r="P88">
            <v>11992.910000000003</v>
          </cell>
        </row>
        <row r="89">
          <cell r="A89" t="str">
            <v>KRAFTSTOFFFILTER</v>
          </cell>
          <cell r="B89">
            <v>188.17000000000002</v>
          </cell>
          <cell r="C89">
            <v>1211.5700000000002</v>
          </cell>
          <cell r="D89">
            <v>1251.05</v>
          </cell>
          <cell r="E89">
            <v>1266.6699999999998</v>
          </cell>
          <cell r="F89">
            <v>951.45</v>
          </cell>
          <cell r="G89">
            <v>1538.64</v>
          </cell>
          <cell r="H89">
            <v>311.63</v>
          </cell>
          <cell r="I89">
            <v>629.86</v>
          </cell>
          <cell r="J89">
            <v>2002.71</v>
          </cell>
          <cell r="K89">
            <v>305.88</v>
          </cell>
          <cell r="L89">
            <v>1024.93</v>
          </cell>
          <cell r="M89">
            <v>1078.83</v>
          </cell>
          <cell r="N89">
            <v>287.5</v>
          </cell>
          <cell r="O89">
            <v>104.27</v>
          </cell>
          <cell r="P89">
            <v>12153.16</v>
          </cell>
        </row>
        <row r="90">
          <cell r="A90" t="str">
            <v>KÜHLFLÜSSIGKEIT</v>
          </cell>
          <cell r="C90">
            <v>120.25</v>
          </cell>
          <cell r="G90">
            <v>1539.86</v>
          </cell>
          <cell r="J90">
            <v>781.86</v>
          </cell>
          <cell r="L90">
            <v>90.15</v>
          </cell>
          <cell r="M90">
            <v>387.84</v>
          </cell>
          <cell r="N90">
            <v>521.07999999999993</v>
          </cell>
          <cell r="P90">
            <v>3441.04</v>
          </cell>
        </row>
        <row r="91">
          <cell r="A91" t="str">
            <v>KUPPLUNGSTEILE</v>
          </cell>
          <cell r="B91">
            <v>3138.58</v>
          </cell>
          <cell r="C91">
            <v>2395.2400000000002</v>
          </cell>
          <cell r="D91">
            <v>6195.1200000000008</v>
          </cell>
          <cell r="E91">
            <v>4506.72</v>
          </cell>
          <cell r="F91">
            <v>3730.83</v>
          </cell>
          <cell r="G91">
            <v>6632.7000000000007</v>
          </cell>
          <cell r="H91">
            <v>1084.06</v>
          </cell>
          <cell r="I91">
            <v>3801.29</v>
          </cell>
          <cell r="J91">
            <v>2560.6799999999994</v>
          </cell>
          <cell r="K91">
            <v>4115.4999999999991</v>
          </cell>
          <cell r="L91">
            <v>3698.0500000000006</v>
          </cell>
          <cell r="M91">
            <v>2525.62</v>
          </cell>
          <cell r="N91">
            <v>4607.4000000000015</v>
          </cell>
          <cell r="O91">
            <v>1612.4900000000002</v>
          </cell>
          <cell r="P91">
            <v>50604.280000000006</v>
          </cell>
        </row>
        <row r="92">
          <cell r="A92" t="str">
            <v>LENKUNGSTEILE</v>
          </cell>
          <cell r="B92">
            <v>484.33000000000004</v>
          </cell>
          <cell r="C92">
            <v>261.12</v>
          </cell>
          <cell r="D92">
            <v>610.02</v>
          </cell>
          <cell r="E92">
            <v>1182.29</v>
          </cell>
          <cell r="F92">
            <v>-270.57</v>
          </cell>
          <cell r="G92">
            <v>586.39</v>
          </cell>
          <cell r="H92">
            <v>281.40999999999997</v>
          </cell>
          <cell r="I92">
            <v>611.79</v>
          </cell>
          <cell r="J92">
            <v>161.79000000000002</v>
          </cell>
          <cell r="L92">
            <v>696.99</v>
          </cell>
          <cell r="M92">
            <v>516.0200000000001</v>
          </cell>
          <cell r="N92">
            <v>437.48</v>
          </cell>
          <cell r="O92">
            <v>186.41</v>
          </cell>
          <cell r="P92">
            <v>5745.4699999999993</v>
          </cell>
        </row>
        <row r="93">
          <cell r="A93" t="str">
            <v>LICHTMASCHINE AUSTAUSCH</v>
          </cell>
          <cell r="G93">
            <v>331.53999999999996</v>
          </cell>
          <cell r="I93">
            <v>292.36</v>
          </cell>
          <cell r="J93">
            <v>582.70000000000005</v>
          </cell>
          <cell r="L93">
            <v>717.49</v>
          </cell>
          <cell r="P93">
            <v>1924.09</v>
          </cell>
        </row>
        <row r="94">
          <cell r="A94" t="str">
            <v>LUFTFILTER</v>
          </cell>
          <cell r="B94">
            <v>571.18000000000006</v>
          </cell>
          <cell r="C94">
            <v>817.31</v>
          </cell>
          <cell r="D94">
            <v>4004.3500000000013</v>
          </cell>
          <cell r="E94">
            <v>1511.6</v>
          </cell>
          <cell r="F94">
            <v>3050.5600000000004</v>
          </cell>
          <cell r="G94">
            <v>2761.09</v>
          </cell>
          <cell r="H94">
            <v>48.8</v>
          </cell>
          <cell r="I94">
            <v>2210.1899999999996</v>
          </cell>
          <cell r="J94">
            <v>2012.8000000000002</v>
          </cell>
          <cell r="K94">
            <v>977.0200000000001</v>
          </cell>
          <cell r="L94">
            <v>1244.4700000000005</v>
          </cell>
          <cell r="M94">
            <v>2834.9900000000007</v>
          </cell>
          <cell r="N94">
            <v>4566.17</v>
          </cell>
          <cell r="O94">
            <v>158.75</v>
          </cell>
          <cell r="P94">
            <v>26769.279999999999</v>
          </cell>
        </row>
        <row r="95">
          <cell r="A95" t="str">
            <v>MOTOR AUSTAUSCH</v>
          </cell>
          <cell r="B95">
            <v>4330.5200000000004</v>
          </cell>
          <cell r="D95">
            <v>4103.4399999999996</v>
          </cell>
          <cell r="E95">
            <v>4650.5600000000004</v>
          </cell>
          <cell r="J95">
            <v>10017.89</v>
          </cell>
          <cell r="P95">
            <v>23102.41</v>
          </cell>
        </row>
        <row r="96">
          <cell r="A96" t="str">
            <v>OEL</v>
          </cell>
          <cell r="B96">
            <v>805.19</v>
          </cell>
          <cell r="C96">
            <v>686.25</v>
          </cell>
          <cell r="D96">
            <v>733.09</v>
          </cell>
          <cell r="E96">
            <v>1443.64</v>
          </cell>
          <cell r="F96">
            <v>220.38</v>
          </cell>
          <cell r="G96">
            <v>3620.6200000000003</v>
          </cell>
          <cell r="H96">
            <v>13.66</v>
          </cell>
          <cell r="I96">
            <v>2958.26</v>
          </cell>
          <cell r="J96">
            <v>933.05000000000018</v>
          </cell>
          <cell r="K96">
            <v>1033.6600000000001</v>
          </cell>
          <cell r="L96">
            <v>10598.49</v>
          </cell>
          <cell r="M96">
            <v>1061.8699999999999</v>
          </cell>
          <cell r="N96">
            <v>9330.7199999999993</v>
          </cell>
          <cell r="O96">
            <v>87.66</v>
          </cell>
          <cell r="P96">
            <v>33526.54</v>
          </cell>
        </row>
        <row r="97">
          <cell r="A97" t="str">
            <v>OELFILTER</v>
          </cell>
          <cell r="B97">
            <v>1646.3399999999997</v>
          </cell>
          <cell r="C97">
            <v>1780.8000000000002</v>
          </cell>
          <cell r="D97">
            <v>4580.51</v>
          </cell>
          <cell r="E97">
            <v>2467.02</v>
          </cell>
          <cell r="F97">
            <v>4782.12</v>
          </cell>
          <cell r="G97">
            <v>3294.55</v>
          </cell>
          <cell r="H97">
            <v>1090.2</v>
          </cell>
          <cell r="I97">
            <v>1398.42</v>
          </cell>
          <cell r="J97">
            <v>4868.55</v>
          </cell>
          <cell r="K97">
            <v>1802.51</v>
          </cell>
          <cell r="L97">
            <v>1365.2200000000003</v>
          </cell>
          <cell r="M97">
            <v>3477.6000000000004</v>
          </cell>
          <cell r="N97">
            <v>5555.18</v>
          </cell>
          <cell r="O97">
            <v>1087.72</v>
          </cell>
          <cell r="P97">
            <v>39196.74</v>
          </cell>
        </row>
        <row r="98">
          <cell r="A98" t="str">
            <v>POLLENFILTER</v>
          </cell>
          <cell r="B98">
            <v>2503.3599999999997</v>
          </cell>
          <cell r="C98">
            <v>5202.6099999999997</v>
          </cell>
          <cell r="D98">
            <v>6288.4299999999994</v>
          </cell>
          <cell r="E98">
            <v>7052.1799999999985</v>
          </cell>
          <cell r="F98">
            <v>7352.27</v>
          </cell>
          <cell r="G98">
            <v>3970.5400000000004</v>
          </cell>
          <cell r="H98">
            <v>245.34</v>
          </cell>
          <cell r="I98">
            <v>1038.3999999999999</v>
          </cell>
          <cell r="J98">
            <v>4161.2599999999993</v>
          </cell>
          <cell r="K98">
            <v>5536.8000000000011</v>
          </cell>
          <cell r="L98">
            <v>3451.17</v>
          </cell>
          <cell r="M98">
            <v>5464.2399999999989</v>
          </cell>
          <cell r="N98">
            <v>6920.5299999999988</v>
          </cell>
          <cell r="O98">
            <v>571.1099999999999</v>
          </cell>
          <cell r="P98">
            <v>59758.239999999998</v>
          </cell>
        </row>
        <row r="99">
          <cell r="A99" t="str">
            <v>QUERLENKER</v>
          </cell>
          <cell r="B99">
            <v>1979.9199999999998</v>
          </cell>
          <cell r="C99">
            <v>2136.2800000000002</v>
          </cell>
          <cell r="D99">
            <v>2138.09</v>
          </cell>
          <cell r="E99">
            <v>1519.7399999999998</v>
          </cell>
          <cell r="F99">
            <v>1055.25</v>
          </cell>
          <cell r="G99">
            <v>1285.24</v>
          </cell>
          <cell r="H99">
            <v>230.45</v>
          </cell>
          <cell r="I99">
            <v>1568.29</v>
          </cell>
          <cell r="J99">
            <v>1914.52</v>
          </cell>
          <cell r="K99">
            <v>1555.82</v>
          </cell>
          <cell r="L99">
            <v>1441.4</v>
          </cell>
          <cell r="M99">
            <v>1312.2</v>
          </cell>
          <cell r="N99">
            <v>2014.4099999999999</v>
          </cell>
          <cell r="O99">
            <v>794.5</v>
          </cell>
          <cell r="P99">
            <v>20946.11</v>
          </cell>
        </row>
        <row r="100">
          <cell r="A100" t="str">
            <v>SCHEIBENKLAR</v>
          </cell>
          <cell r="J100">
            <v>16.420000000000002</v>
          </cell>
          <cell r="N100">
            <v>294.72000000000003</v>
          </cell>
          <cell r="P100">
            <v>311.14000000000004</v>
          </cell>
        </row>
        <row r="101">
          <cell r="A101" t="str">
            <v>SCHEIBENKLEBER</v>
          </cell>
          <cell r="E101">
            <v>250.32</v>
          </cell>
          <cell r="F101">
            <v>-47.24</v>
          </cell>
          <cell r="J101">
            <v>92.89</v>
          </cell>
          <cell r="K101">
            <v>31.29</v>
          </cell>
          <cell r="L101">
            <v>155.95999999999998</v>
          </cell>
          <cell r="M101">
            <v>1.41</v>
          </cell>
          <cell r="P101">
            <v>484.63</v>
          </cell>
        </row>
        <row r="102">
          <cell r="A102" t="str">
            <v>SERVOLENKUNG AUSTAUSCH</v>
          </cell>
          <cell r="C102">
            <v>818.62</v>
          </cell>
          <cell r="D102">
            <v>613.97</v>
          </cell>
          <cell r="M102">
            <v>368.38</v>
          </cell>
          <cell r="P102">
            <v>1800.9700000000003</v>
          </cell>
        </row>
        <row r="103">
          <cell r="A103" t="str">
            <v>SPIEGELKAPPEN, LACKIERT</v>
          </cell>
          <cell r="B103">
            <v>2618.1099999999997</v>
          </cell>
          <cell r="C103">
            <v>4736.8099999999986</v>
          </cell>
          <cell r="D103">
            <v>4678.1999999999989</v>
          </cell>
          <cell r="E103">
            <v>4459.7199999999993</v>
          </cell>
          <cell r="F103">
            <v>3273.4199999999996</v>
          </cell>
          <cell r="G103">
            <v>6572.7499999999991</v>
          </cell>
          <cell r="H103">
            <v>3597.7899999999995</v>
          </cell>
          <cell r="I103">
            <v>4694.0899999999983</v>
          </cell>
          <cell r="J103">
            <v>5996.7399999999989</v>
          </cell>
          <cell r="K103">
            <v>5155.7799999999988</v>
          </cell>
          <cell r="L103">
            <v>7040.6199999999981</v>
          </cell>
          <cell r="M103">
            <v>7744.01</v>
          </cell>
          <cell r="N103">
            <v>12859.459999999992</v>
          </cell>
          <cell r="O103">
            <v>4896.6699999999983</v>
          </cell>
          <cell r="P103">
            <v>78324.169999999969</v>
          </cell>
        </row>
        <row r="104">
          <cell r="A104" t="str">
            <v>STOSSDÄMPFER</v>
          </cell>
          <cell r="B104">
            <v>1977.4400000000003</v>
          </cell>
          <cell r="C104">
            <v>3920.8799999999992</v>
          </cell>
          <cell r="D104">
            <v>3172.3</v>
          </cell>
          <cell r="E104">
            <v>2030.8499999999997</v>
          </cell>
          <cell r="F104">
            <v>2138.1699999999996</v>
          </cell>
          <cell r="G104">
            <v>2011.4999999999995</v>
          </cell>
          <cell r="H104">
            <v>1455.72</v>
          </cell>
          <cell r="I104">
            <v>1455.83</v>
          </cell>
          <cell r="J104">
            <v>1698.0000000000002</v>
          </cell>
          <cell r="K104">
            <v>1410.42</v>
          </cell>
          <cell r="L104">
            <v>1317.8899999999999</v>
          </cell>
          <cell r="M104">
            <v>5410.8700000000008</v>
          </cell>
          <cell r="N104">
            <v>2474.88</v>
          </cell>
          <cell r="O104">
            <v>1191.8800000000001</v>
          </cell>
          <cell r="P104">
            <v>31666.630000000005</v>
          </cell>
        </row>
        <row r="105">
          <cell r="A105" t="str">
            <v>STOSSSTANGE</v>
          </cell>
          <cell r="B105">
            <v>15873.1</v>
          </cell>
          <cell r="C105">
            <v>10319.460000000006</v>
          </cell>
          <cell r="D105">
            <v>16082.640000000003</v>
          </cell>
          <cell r="E105">
            <v>11955.81000000001</v>
          </cell>
          <cell r="F105">
            <v>6947.1799999999994</v>
          </cell>
          <cell r="G105">
            <v>16244.500000000002</v>
          </cell>
          <cell r="H105">
            <v>9112.1400000000012</v>
          </cell>
          <cell r="I105">
            <v>13304.530000000002</v>
          </cell>
          <cell r="J105">
            <v>11490.730000000001</v>
          </cell>
          <cell r="K105">
            <v>18101.599999999999</v>
          </cell>
          <cell r="L105">
            <v>28800.570000000014</v>
          </cell>
          <cell r="M105">
            <v>19864.540000000012</v>
          </cell>
          <cell r="N105">
            <v>22348.780000000006</v>
          </cell>
          <cell r="O105">
            <v>5357.43</v>
          </cell>
          <cell r="P105">
            <v>205803.01000000004</v>
          </cell>
        </row>
        <row r="106">
          <cell r="A106" t="str">
            <v>TURBOLADER AUSTAUSCH</v>
          </cell>
          <cell r="C106">
            <v>1030.4100000000001</v>
          </cell>
          <cell r="E106">
            <v>979.12</v>
          </cell>
          <cell r="I106">
            <v>977.63</v>
          </cell>
          <cell r="K106">
            <v>2027.5</v>
          </cell>
          <cell r="L106">
            <v>611.95000000000005</v>
          </cell>
          <cell r="M106">
            <v>2060.8200000000002</v>
          </cell>
          <cell r="N106">
            <v>1009.39</v>
          </cell>
          <cell r="O106">
            <v>560.77</v>
          </cell>
          <cell r="P106">
            <v>9257.59</v>
          </cell>
        </row>
        <row r="107">
          <cell r="A107" t="str">
            <v>WINDSCHUTZSCHEIBEN</v>
          </cell>
          <cell r="B107">
            <v>903.21</v>
          </cell>
          <cell r="C107">
            <v>2514.91</v>
          </cell>
          <cell r="D107">
            <v>3924.6799999999994</v>
          </cell>
          <cell r="E107">
            <v>5138.1900000000005</v>
          </cell>
          <cell r="F107">
            <v>1899.99</v>
          </cell>
          <cell r="G107">
            <v>4780.420000000001</v>
          </cell>
          <cell r="H107">
            <v>751.83</v>
          </cell>
          <cell r="I107">
            <v>1160.53</v>
          </cell>
          <cell r="J107">
            <v>1903.26</v>
          </cell>
          <cell r="K107">
            <v>493.01</v>
          </cell>
          <cell r="L107">
            <v>4905.1500000000015</v>
          </cell>
          <cell r="M107">
            <v>6647.8100000000022</v>
          </cell>
          <cell r="N107">
            <v>3459.5300000000007</v>
          </cell>
          <cell r="O107">
            <v>1586.9</v>
          </cell>
          <cell r="P107">
            <v>40069.420000000006</v>
          </cell>
        </row>
        <row r="108">
          <cell r="A108" t="str">
            <v>WISCHERBLATT</v>
          </cell>
          <cell r="B108">
            <v>2507.3100000000004</v>
          </cell>
          <cell r="C108">
            <v>1170.0799999999997</v>
          </cell>
          <cell r="D108">
            <v>2639.43</v>
          </cell>
          <cell r="E108">
            <v>5622.2999999999975</v>
          </cell>
          <cell r="F108">
            <v>2721.17</v>
          </cell>
          <cell r="G108">
            <v>6872.65</v>
          </cell>
          <cell r="H108">
            <v>575.42000000000007</v>
          </cell>
          <cell r="I108">
            <v>1456.7599999999998</v>
          </cell>
          <cell r="J108">
            <v>4677.3400000000011</v>
          </cell>
          <cell r="K108">
            <v>2689.8000000000006</v>
          </cell>
          <cell r="L108">
            <v>6301.5899999999983</v>
          </cell>
          <cell r="M108">
            <v>5033.3599999999988</v>
          </cell>
          <cell r="N108">
            <v>4648.8300000000008</v>
          </cell>
          <cell r="O108">
            <v>519.64</v>
          </cell>
          <cell r="P108">
            <v>47435.679999999993</v>
          </cell>
        </row>
        <row r="109">
          <cell r="A109" t="str">
            <v>ZAHNRIEHMEN</v>
          </cell>
          <cell r="B109">
            <v>108.32</v>
          </cell>
          <cell r="D109">
            <v>1130.0200000000002</v>
          </cell>
          <cell r="E109">
            <v>435.3</v>
          </cell>
          <cell r="G109">
            <v>364.2</v>
          </cell>
          <cell r="J109">
            <v>137.41</v>
          </cell>
          <cell r="K109">
            <v>40.22</v>
          </cell>
          <cell r="L109">
            <v>512.07999999999993</v>
          </cell>
          <cell r="M109">
            <v>81.550000000000011</v>
          </cell>
          <cell r="N109">
            <v>51.39</v>
          </cell>
          <cell r="O109">
            <v>137.41</v>
          </cell>
          <cell r="P109">
            <v>2997.8999999999996</v>
          </cell>
        </row>
        <row r="110">
          <cell r="A110" t="str">
            <v>ZÜNDKERZEN</v>
          </cell>
          <cell r="B110">
            <v>1406.1100000000001</v>
          </cell>
          <cell r="C110">
            <v>237.70000000000002</v>
          </cell>
          <cell r="D110">
            <v>1213.8400000000001</v>
          </cell>
          <cell r="E110">
            <v>1891.8700000000001</v>
          </cell>
          <cell r="F110">
            <v>2656.69</v>
          </cell>
          <cell r="G110">
            <v>5339.79</v>
          </cell>
          <cell r="H110">
            <v>156.38000000000002</v>
          </cell>
          <cell r="I110">
            <v>426.90000000000003</v>
          </cell>
          <cell r="J110">
            <v>745.20999999999992</v>
          </cell>
          <cell r="K110">
            <v>268.7</v>
          </cell>
          <cell r="L110">
            <v>1621.6299999999997</v>
          </cell>
          <cell r="M110">
            <v>539.76</v>
          </cell>
          <cell r="N110">
            <v>2580.9800000000005</v>
          </cell>
          <cell r="O110">
            <v>585.18000000000006</v>
          </cell>
          <cell r="P110">
            <v>19670.739999999998</v>
          </cell>
        </row>
        <row r="111">
          <cell r="A111" t="str">
            <v>KOMPRESSOR KLIMAANLAGE AUSTAUSCH</v>
          </cell>
          <cell r="G111">
            <v>848.3</v>
          </cell>
          <cell r="P111">
            <v>848.3</v>
          </cell>
        </row>
        <row r="112">
          <cell r="A112" t="str">
            <v>PUMPEN AUSTAUSCH</v>
          </cell>
          <cell r="J112">
            <v>419.99</v>
          </cell>
          <cell r="P112">
            <v>419.99</v>
          </cell>
        </row>
        <row r="113">
          <cell r="A113" t="str">
            <v>Accessoires</v>
          </cell>
          <cell r="B113">
            <v>10339.06</v>
          </cell>
          <cell r="C113">
            <v>5663.26</v>
          </cell>
          <cell r="D113">
            <v>9755.32</v>
          </cell>
          <cell r="E113">
            <v>19658.469999999994</v>
          </cell>
          <cell r="F113">
            <v>6292</v>
          </cell>
          <cell r="G113">
            <v>17654.310000000001</v>
          </cell>
          <cell r="H113">
            <v>6321.01</v>
          </cell>
          <cell r="I113">
            <v>6280.47</v>
          </cell>
          <cell r="J113">
            <v>16985.8</v>
          </cell>
          <cell r="K113">
            <v>13440.330000000002</v>
          </cell>
          <cell r="L113">
            <v>12346.619999999999</v>
          </cell>
          <cell r="M113">
            <v>27064.310000000005</v>
          </cell>
          <cell r="N113">
            <v>21419.83</v>
          </cell>
          <cell r="O113">
            <v>15220.28</v>
          </cell>
          <cell r="P113">
            <v>188441.07</v>
          </cell>
        </row>
        <row r="114">
          <cell r="A114" t="str">
            <v>ALU-FELGE</v>
          </cell>
          <cell r="D114">
            <v>-195.05</v>
          </cell>
          <cell r="E114">
            <v>367.92</v>
          </cell>
          <cell r="F114">
            <v>921.12</v>
          </cell>
          <cell r="H114">
            <v>183.96</v>
          </cell>
          <cell r="L114">
            <v>183.96</v>
          </cell>
          <cell r="M114">
            <v>815.6</v>
          </cell>
          <cell r="N114">
            <v>2718.44</v>
          </cell>
          <cell r="O114">
            <v>780.32</v>
          </cell>
          <cell r="P114">
            <v>5776.27</v>
          </cell>
        </row>
        <row r="115">
          <cell r="A115" t="str">
            <v>ANHÄNGEKUPPLUNG E-SATZ</v>
          </cell>
          <cell r="B115">
            <v>945.16999999999985</v>
          </cell>
          <cell r="C115">
            <v>578.86</v>
          </cell>
          <cell r="D115">
            <v>542.47</v>
          </cell>
          <cell r="E115">
            <v>1507.07</v>
          </cell>
          <cell r="F115">
            <v>235.07999999999998</v>
          </cell>
          <cell r="G115">
            <v>2108.46</v>
          </cell>
          <cell r="H115">
            <v>669.53</v>
          </cell>
          <cell r="I115">
            <v>515.79</v>
          </cell>
          <cell r="J115">
            <v>829.49000000000012</v>
          </cell>
          <cell r="K115">
            <v>411.15999999999997</v>
          </cell>
          <cell r="L115">
            <v>767.13</v>
          </cell>
          <cell r="M115">
            <v>1127.53</v>
          </cell>
          <cell r="N115">
            <v>584.83000000000004</v>
          </cell>
          <cell r="O115">
            <v>2341.9699999999998</v>
          </cell>
          <cell r="P115">
            <v>13164.539999999999</v>
          </cell>
        </row>
        <row r="116">
          <cell r="A116" t="str">
            <v>ANHÄNGEZUGVORRICHTUNG</v>
          </cell>
          <cell r="B116">
            <v>1980.7000000000003</v>
          </cell>
          <cell r="C116">
            <v>1102.0100000000002</v>
          </cell>
          <cell r="D116">
            <v>2625.9300000000003</v>
          </cell>
          <cell r="E116">
            <v>4166.3399999999992</v>
          </cell>
          <cell r="F116">
            <v>657.48</v>
          </cell>
          <cell r="G116">
            <v>3687.19</v>
          </cell>
          <cell r="H116">
            <v>1485.13</v>
          </cell>
          <cell r="I116">
            <v>2783.7400000000002</v>
          </cell>
          <cell r="J116">
            <v>2389.17</v>
          </cell>
          <cell r="K116">
            <v>2131.35</v>
          </cell>
          <cell r="L116">
            <v>1486.0600000000002</v>
          </cell>
          <cell r="M116">
            <v>4743.8000000000011</v>
          </cell>
          <cell r="N116">
            <v>1594.13</v>
          </cell>
          <cell r="O116">
            <v>5988.8400000000011</v>
          </cell>
          <cell r="P116">
            <v>36821.870000000003</v>
          </cell>
        </row>
        <row r="117">
          <cell r="A117" t="str">
            <v>AUSPUFFBLENDE, CHROM</v>
          </cell>
          <cell r="J117">
            <v>78.98</v>
          </cell>
          <cell r="P117">
            <v>78.98</v>
          </cell>
        </row>
        <row r="118">
          <cell r="A118" t="str">
            <v>CHROMLEISTEN</v>
          </cell>
          <cell r="B118">
            <v>268.62</v>
          </cell>
          <cell r="C118">
            <v>25.19</v>
          </cell>
          <cell r="E118">
            <v>442.29999999999995</v>
          </cell>
          <cell r="F118">
            <v>51.41</v>
          </cell>
          <cell r="J118">
            <v>176.26</v>
          </cell>
          <cell r="K118">
            <v>537.24</v>
          </cell>
          <cell r="L118">
            <v>8.94</v>
          </cell>
          <cell r="M118">
            <v>131.55000000000001</v>
          </cell>
          <cell r="P118">
            <v>1641.51</v>
          </cell>
        </row>
        <row r="119">
          <cell r="A119" t="str">
            <v>DACHBOX</v>
          </cell>
          <cell r="B119">
            <v>181.37</v>
          </cell>
          <cell r="C119">
            <v>1022.8299999999999</v>
          </cell>
          <cell r="D119">
            <v>1030.5</v>
          </cell>
          <cell r="E119">
            <v>1180.76</v>
          </cell>
          <cell r="F119">
            <v>375.83</v>
          </cell>
          <cell r="G119">
            <v>1848.3300000000002</v>
          </cell>
          <cell r="H119">
            <v>1113.06</v>
          </cell>
          <cell r="I119">
            <v>1181.3800000000001</v>
          </cell>
          <cell r="J119">
            <v>583.87</v>
          </cell>
          <cell r="K119">
            <v>649.47</v>
          </cell>
          <cell r="L119">
            <v>177.72</v>
          </cell>
          <cell r="M119">
            <v>1538.1200000000001</v>
          </cell>
          <cell r="N119">
            <v>725.79</v>
          </cell>
          <cell r="O119">
            <v>536.38</v>
          </cell>
          <cell r="P119">
            <v>12145.409999999998</v>
          </cell>
        </row>
        <row r="120">
          <cell r="A120" t="str">
            <v>DACHSPOILER</v>
          </cell>
          <cell r="B120">
            <v>263.27999999999997</v>
          </cell>
          <cell r="E120">
            <v>263.27999999999997</v>
          </cell>
          <cell r="J120">
            <v>-243.05</v>
          </cell>
          <cell r="K120">
            <v>239.13</v>
          </cell>
          <cell r="L120">
            <v>482.65999999999997</v>
          </cell>
          <cell r="M120">
            <v>263.27999999999997</v>
          </cell>
          <cell r="N120">
            <v>528.73</v>
          </cell>
          <cell r="P120">
            <v>1797.31</v>
          </cell>
        </row>
        <row r="121">
          <cell r="A121" t="str">
            <v>EINPARKHILFE</v>
          </cell>
          <cell r="B121">
            <v>731.25</v>
          </cell>
          <cell r="C121">
            <v>294.45</v>
          </cell>
          <cell r="D121">
            <v>416.11</v>
          </cell>
          <cell r="E121">
            <v>162.5</v>
          </cell>
          <cell r="F121">
            <v>252.26</v>
          </cell>
          <cell r="G121">
            <v>741.11</v>
          </cell>
          <cell r="H121">
            <v>29.25</v>
          </cell>
          <cell r="I121">
            <v>325</v>
          </cell>
          <cell r="J121">
            <v>131.94999999999999</v>
          </cell>
          <cell r="L121">
            <v>370.21000000000004</v>
          </cell>
          <cell r="M121">
            <v>488.26</v>
          </cell>
          <cell r="N121">
            <v>35.369999999999997</v>
          </cell>
          <cell r="O121">
            <v>162.5</v>
          </cell>
          <cell r="P121">
            <v>4140.2199999999993</v>
          </cell>
        </row>
        <row r="122">
          <cell r="A122" t="str">
            <v>EINSTIEGSLEISTE, BELEUCHTET+LADERAUMWANNE</v>
          </cell>
          <cell r="E122">
            <v>1144.75</v>
          </cell>
          <cell r="G122">
            <v>474.48999999999995</v>
          </cell>
          <cell r="H122">
            <v>157.72</v>
          </cell>
          <cell r="I122">
            <v>157.79</v>
          </cell>
          <cell r="L122">
            <v>429.46999999999997</v>
          </cell>
          <cell r="M122">
            <v>343.35</v>
          </cell>
          <cell r="N122">
            <v>159.07</v>
          </cell>
          <cell r="P122">
            <v>2866.64</v>
          </cell>
        </row>
        <row r="123">
          <cell r="A123" t="str">
            <v>HARDTOP</v>
          </cell>
          <cell r="C123">
            <v>-2527.1999999999998</v>
          </cell>
          <cell r="E123">
            <v>1195.76</v>
          </cell>
          <cell r="I123">
            <v>-1701.2699999999998</v>
          </cell>
          <cell r="J123">
            <v>969.48</v>
          </cell>
          <cell r="K123">
            <v>95.46</v>
          </cell>
          <cell r="L123">
            <v>579.5</v>
          </cell>
          <cell r="M123">
            <v>3553.3500000000004</v>
          </cell>
          <cell r="N123">
            <v>95.46</v>
          </cell>
          <cell r="P123">
            <v>2260.5400000000009</v>
          </cell>
        </row>
        <row r="124">
          <cell r="A124" t="str">
            <v>INTERIEUR</v>
          </cell>
          <cell r="C124">
            <v>730.62</v>
          </cell>
          <cell r="D124">
            <v>137.97999999999999</v>
          </cell>
          <cell r="F124">
            <v>93.61</v>
          </cell>
          <cell r="G124">
            <v>585.32000000000005</v>
          </cell>
          <cell r="I124">
            <v>440.9</v>
          </cell>
          <cell r="J124">
            <v>604.09999999999991</v>
          </cell>
          <cell r="K124">
            <v>298.95999999999998</v>
          </cell>
          <cell r="L124">
            <v>594.5</v>
          </cell>
          <cell r="M124">
            <v>151.54</v>
          </cell>
          <cell r="P124">
            <v>3637.53</v>
          </cell>
        </row>
        <row r="125">
          <cell r="A125" t="str">
            <v>KOTSCHUTZLAPPEN</v>
          </cell>
          <cell r="B125">
            <v>511.85999999999996</v>
          </cell>
          <cell r="C125">
            <v>807.37999999999988</v>
          </cell>
          <cell r="D125">
            <v>224.23000000000002</v>
          </cell>
          <cell r="E125">
            <v>381.65</v>
          </cell>
          <cell r="F125">
            <v>172.85000000000002</v>
          </cell>
          <cell r="G125">
            <v>514.19000000000005</v>
          </cell>
          <cell r="H125">
            <v>119.02</v>
          </cell>
          <cell r="I125">
            <v>635.70000000000005</v>
          </cell>
          <cell r="J125">
            <v>222.66</v>
          </cell>
          <cell r="K125">
            <v>495.54</v>
          </cell>
          <cell r="L125">
            <v>449.65</v>
          </cell>
          <cell r="M125">
            <v>401.71</v>
          </cell>
          <cell r="N125">
            <v>216.61</v>
          </cell>
          <cell r="O125">
            <v>136.14000000000001</v>
          </cell>
          <cell r="P125">
            <v>5289.19</v>
          </cell>
        </row>
        <row r="126">
          <cell r="A126" t="str">
            <v>LADERAUMWANNE</v>
          </cell>
          <cell r="C126">
            <v>1528.27</v>
          </cell>
          <cell r="D126">
            <v>252.12</v>
          </cell>
          <cell r="F126">
            <v>679.45</v>
          </cell>
          <cell r="I126">
            <v>-355.45</v>
          </cell>
          <cell r="J126">
            <v>438.5</v>
          </cell>
          <cell r="K126">
            <v>683.55</v>
          </cell>
          <cell r="L126">
            <v>-328.52</v>
          </cell>
          <cell r="M126">
            <v>1828.0099999999998</v>
          </cell>
          <cell r="N126">
            <v>1971.4</v>
          </cell>
          <cell r="O126">
            <v>579.73</v>
          </cell>
          <cell r="P126">
            <v>7277.0599999999995</v>
          </cell>
        </row>
        <row r="127">
          <cell r="A127" t="str">
            <v>OFFROAD</v>
          </cell>
          <cell r="B127">
            <v>1109.93</v>
          </cell>
          <cell r="C127">
            <v>330.6</v>
          </cell>
          <cell r="D127">
            <v>102.06</v>
          </cell>
          <cell r="E127">
            <v>1745.17</v>
          </cell>
          <cell r="F127">
            <v>620.68000000000006</v>
          </cell>
          <cell r="G127">
            <v>1402.8500000000001</v>
          </cell>
          <cell r="H127">
            <v>314</v>
          </cell>
          <cell r="I127">
            <v>-300.68999999999994</v>
          </cell>
          <cell r="J127">
            <v>2941.89</v>
          </cell>
          <cell r="K127">
            <v>374.21999999999997</v>
          </cell>
          <cell r="L127">
            <v>1428.01</v>
          </cell>
          <cell r="M127">
            <v>1218.71</v>
          </cell>
          <cell r="N127">
            <v>1989.81</v>
          </cell>
          <cell r="O127">
            <v>102.06</v>
          </cell>
          <cell r="P127">
            <v>13379.3</v>
          </cell>
        </row>
        <row r="128">
          <cell r="A128" t="str">
            <v>PERSONALISATION KIT</v>
          </cell>
          <cell r="J128">
            <v>615.23</v>
          </cell>
          <cell r="M128">
            <v>664.16000000000008</v>
          </cell>
          <cell r="N128">
            <v>1867.4700000000003</v>
          </cell>
          <cell r="O128">
            <v>812.19999999999993</v>
          </cell>
          <cell r="P128">
            <v>3959.0600000000004</v>
          </cell>
        </row>
        <row r="129">
          <cell r="A129" t="str">
            <v>SONSTIGES ZUBEHÖR</v>
          </cell>
          <cell r="B129">
            <v>855.18999999999994</v>
          </cell>
          <cell r="C129">
            <v>514.70000000000005</v>
          </cell>
          <cell r="D129">
            <v>334.78</v>
          </cell>
          <cell r="E129">
            <v>2294.6799999999994</v>
          </cell>
          <cell r="F129">
            <v>755.74999999999989</v>
          </cell>
          <cell r="G129">
            <v>1645.3500000000006</v>
          </cell>
          <cell r="H129">
            <v>83.16</v>
          </cell>
          <cell r="I129">
            <v>740.53</v>
          </cell>
          <cell r="J129">
            <v>1609.7299999999998</v>
          </cell>
          <cell r="K129">
            <v>539.57999999999993</v>
          </cell>
          <cell r="L129">
            <v>922.37</v>
          </cell>
          <cell r="M129">
            <v>2011.27</v>
          </cell>
          <cell r="N129">
            <v>1361.47</v>
          </cell>
          <cell r="O129">
            <v>502.78999999999996</v>
          </cell>
          <cell r="P129">
            <v>14171.349999999999</v>
          </cell>
        </row>
        <row r="130">
          <cell r="A130" t="str">
            <v>STYLING ACCESSORIES</v>
          </cell>
          <cell r="B130">
            <v>587.22</v>
          </cell>
          <cell r="C130">
            <v>296</v>
          </cell>
          <cell r="D130">
            <v>590.84</v>
          </cell>
          <cell r="E130">
            <v>176.52</v>
          </cell>
          <cell r="F130">
            <v>98.98</v>
          </cell>
          <cell r="H130">
            <v>287.42</v>
          </cell>
          <cell r="I130">
            <v>246.78</v>
          </cell>
          <cell r="J130">
            <v>126.09</v>
          </cell>
          <cell r="K130">
            <v>1401.07</v>
          </cell>
          <cell r="L130">
            <v>107.17</v>
          </cell>
          <cell r="M130">
            <v>292.73</v>
          </cell>
          <cell r="N130">
            <v>1129.6799999999998</v>
          </cell>
          <cell r="P130">
            <v>5340.5</v>
          </cell>
        </row>
        <row r="131">
          <cell r="B131">
            <v>1045.6199999999999</v>
          </cell>
          <cell r="C131">
            <v>322.10999999999996</v>
          </cell>
          <cell r="D131">
            <v>1736.2800000000002</v>
          </cell>
          <cell r="E131">
            <v>1003.05</v>
          </cell>
          <cell r="F131">
            <v>536.79</v>
          </cell>
          <cell r="G131">
            <v>2405.1799999999998</v>
          </cell>
          <cell r="H131">
            <v>1069.8800000000001</v>
          </cell>
          <cell r="I131">
            <v>810.28</v>
          </cell>
          <cell r="J131">
            <v>2678.2799999999997</v>
          </cell>
          <cell r="K131">
            <v>3456.89</v>
          </cell>
          <cell r="L131">
            <v>2642.75</v>
          </cell>
          <cell r="M131">
            <v>4225.78</v>
          </cell>
          <cell r="N131">
            <v>1722.08</v>
          </cell>
          <cell r="O131">
            <v>1477.9</v>
          </cell>
          <cell r="P131">
            <v>25132.870000000003</v>
          </cell>
        </row>
      </sheetData>
      <sheetData sheetId="3"/>
    </sheetDataSet>
  </externalBook>
</externalLink>
</file>

<file path=xl/tables/table1.xml><?xml version="1.0" encoding="utf-8"?>
<table xmlns="http://schemas.openxmlformats.org/spreadsheetml/2006/main" id="1" name="Liste1" displayName="Liste1" ref="Q17:Q171" totalsRowShown="0" headerRowDxfId="85" dataDxfId="84">
  <autoFilter ref="Q17:Q171"/>
  <sortState ref="Q17:Q170">
    <sortCondition ref="Q16:Q170"/>
  </sortState>
  <tableColumns count="1">
    <tableColumn id="1" name="Colonne1" dataDxfId="83"/>
  </tableColumns>
  <tableStyleInfo showFirstColumn="0" showLastColumn="0" showRowStripes="1" showColumnStripes="0"/>
</table>
</file>

<file path=xl/tables/table2.xml><?xml version="1.0" encoding="utf-8"?>
<table xmlns="http://schemas.openxmlformats.org/spreadsheetml/2006/main" id="2" name="Liste13" displayName="Liste13" ref="P18:P33" totalsRowShown="0" headerRowDxfId="80" dataDxfId="79">
  <autoFilter ref="P18:P33"/>
  <tableColumns count="1">
    <tableColumn id="1" name="Colonne1" dataDxfId="78"/>
  </tableColumns>
  <tableStyleInfo showFirstColumn="0" showLastColumn="0" showRowStripes="1" showColumnStripes="0"/>
</table>
</file>

<file path=xl/tables/table3.xml><?xml version="1.0" encoding="utf-8"?>
<table xmlns="http://schemas.openxmlformats.org/spreadsheetml/2006/main" id="6" name="Tableau6" displayName="Tableau6" ref="I4:K39" totalsRowShown="0" headerRowDxfId="48" dataDxfId="47">
  <sortState ref="I3:K42">
    <sortCondition ref="I3"/>
  </sortState>
  <tableColumns count="3">
    <tableColumn id="1" name="Description" dataDxfId="46"/>
    <tableColumn id="3" name="CA FY13" dataDxfId="45">
      <calculatedColumnFormula>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calculatedColumnFormula>
    </tableColumn>
    <tableColumn id="4" name="CA FY12" dataDxfId="44">
      <calculatedColumnFormula>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calculatedColumnFormula>
    </tableColumn>
  </tableColumns>
  <tableStyleInfo name="TableStyleLight16" showFirstColumn="0" showLastColumn="0" showRowStripes="1" showColumnStripes="0"/>
</table>
</file>

<file path=xl/tables/table4.xml><?xml version="1.0" encoding="utf-8"?>
<table xmlns="http://schemas.openxmlformats.org/spreadsheetml/2006/main" id="4" name="Tableau4" displayName="Tableau4" ref="M4:O25" totalsRowShown="0" headerRowDxfId="43" dataDxfId="42">
  <sortState ref="M3:O23">
    <sortCondition ref="M3"/>
  </sortState>
  <tableColumns count="3">
    <tableColumn id="1" name="Description" dataDxfId="41"/>
    <tableColumn id="2" name="CA FY13" dataDxfId="40">
      <calculatedColumnFormula>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calculatedColumnFormula>
    </tableColumn>
    <tableColumn id="3" name="CA FY12" dataDxfId="39">
      <calculatedColumnFormula>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calculatedColumnFormula>
    </tableColumn>
  </tableColumns>
  <tableStyleInfo name="TableStyleLight16" showFirstColumn="0" showLastColumn="0" showRowStripes="1" showColumnStripes="0"/>
</table>
</file>

<file path=xl/tables/table5.xml><?xml version="1.0" encoding="utf-8"?>
<table xmlns="http://schemas.openxmlformats.org/spreadsheetml/2006/main" id="8" name="Tableau8" displayName="Tableau8" ref="M28:O29" totalsRowShown="0">
  <tableColumns count="3">
    <tableColumn id="1" name="Description" dataDxfId="38">
      <calculatedColumnFormula>IF(V1="F",#REF!,#REF!)</calculatedColumnFormula>
    </tableColumn>
    <tableColumn id="2" name="CA FY13" dataDxfId="37">
      <calculatedColumnFormula>IF($V$1="F",IF(ISERROR(INDEX('[2]Evolution DC FY13'!$B$3:$P$59,MATCH(Tableau8[[#This Row],[Description]],'[2]Evolution DC FY13'!$A$3:$A$58,0),MATCH($T$9,'[2]Evolution DC FY13'!$B$2:$P$2,0))),"",(INDEX('[2]Evolution DC FY13'!$B$3:$P$59,MATCH(Tableau8[[#This Row],[Description]],'[2]Evolution DC FY13'!$A$3:$A$58,0),MATCH($T$9,'[2]Evolution DC FY13'!$B$2:$P$2,0)))),IF(ISERROR(INDEX('[2]Evolution DC FY13'!$B$74:$P$131,MATCH(Tableau8[[#This Row],[Description]],'[2]Evolution DC FY13'!$A$74:$A$130,0),MATCH($T$9,'[2]Evolution DC FY13'!$B$73:$P$73,0))),"",(INDEX('[2]Evolution DC FY13'!$B$74:$P$131,MATCH(Tableau8[[#This Row],[Description]],'[2]Evolution DC FY13'!$A$74:$A$130,0),MATCH($T$9,'[2]Evolution DC FY13'!$B$73:$P$73,0)))))</calculatedColumnFormula>
    </tableColumn>
    <tableColumn id="3" name="CA FY12" dataDxfId="36">
      <calculatedColumnFormula>IF($V$1="F",IF(ISERROR(INDEX(#REF!,MATCH(Tableau4[[#This Row],[Description]],#REF!,0),MATCH($T$9,#REF!,0))),"",(INDEX(#REF!,MATCH(Tableau8[Description],#REF!,0),MATCH($T$9,#REF!,0)))),IF(ISERROR(INDEX(#REF!,MATCH(Tableau8[Description],#REF!,0),MATCH($T$9,#REF!,0))),"",(INDEX(#REF!,MATCH(Tableau8[Description],#REF!,0),MATCH($T$9,#REF!,0)))))</calculatedColumnFormula>
    </tableColumn>
  </tableColumns>
  <tableStyleInfo name="TableStyleLight16"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5" Type="http://schemas.openxmlformats.org/officeDocument/2006/relationships/table" Target="../tables/table5.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2"/>
  <dimension ref="A1:AE178"/>
  <sheetViews>
    <sheetView view="pageBreakPreview" topLeftCell="A19" zoomScaleNormal="90" zoomScaleSheetLayoutView="100" workbookViewId="0">
      <selection activeCell="F27" sqref="F27"/>
    </sheetView>
  </sheetViews>
  <sheetFormatPr baseColWidth="10" defaultRowHeight="10.5" x14ac:dyDescent="0.2"/>
  <cols>
    <col min="1" max="1" width="18" style="12" customWidth="1"/>
    <col min="2" max="2" width="8.7109375" style="12" customWidth="1"/>
    <col min="3" max="3" width="0.5703125" style="17" customWidth="1"/>
    <col min="4" max="4" width="9" style="12" customWidth="1"/>
    <col min="5" max="5" width="17.42578125" style="12" customWidth="1"/>
    <col min="6" max="6" width="17.7109375" style="12" customWidth="1"/>
    <col min="7" max="7" width="11.85546875" style="12" customWidth="1"/>
    <col min="8" max="8" width="16.5703125" style="12" customWidth="1"/>
    <col min="9" max="11" width="10.42578125" style="12" customWidth="1"/>
    <col min="12" max="12" width="2.28515625" style="12" customWidth="1"/>
    <col min="13" max="14" width="8.28515625" style="12" customWidth="1"/>
    <col min="15" max="15" width="8.5703125" style="12" bestFit="1" customWidth="1"/>
    <col min="16" max="16" width="8" style="12" bestFit="1" customWidth="1"/>
    <col min="17" max="17" width="13.85546875" style="12" hidden="1" customWidth="1"/>
    <col min="18" max="18" width="2.5703125" style="12" hidden="1" customWidth="1"/>
    <col min="19" max="19" width="6.42578125" style="12" bestFit="1" customWidth="1"/>
    <col min="20" max="24" width="9" style="12" customWidth="1"/>
    <col min="25" max="25" width="11" style="12" bestFit="1" customWidth="1"/>
    <col min="26" max="32" width="9" style="12" customWidth="1"/>
    <col min="33" max="16384" width="11.42578125" style="12"/>
  </cols>
  <sheetData>
    <row r="1" spans="1:31" s="6" customFormat="1" ht="15" customHeight="1" x14ac:dyDescent="0.2">
      <c r="A1" s="173" t="str">
        <f>IF(O1="F","N° agent/nom","HDL Nr/Name")</f>
        <v>N° agent/nom</v>
      </c>
      <c r="B1" s="5"/>
      <c r="C1" s="5"/>
      <c r="D1" s="80">
        <v>456</v>
      </c>
      <c r="E1" s="366" t="e">
        <f>VLOOKUP(D1,#REF!,2,0)</f>
        <v>#REF!</v>
      </c>
      <c r="F1" s="366"/>
      <c r="G1" s="367"/>
      <c r="I1" s="83" t="s">
        <v>0</v>
      </c>
      <c r="K1" s="83" t="str">
        <f>IF(O1="F","Au","Am")</f>
        <v>Au</v>
      </c>
      <c r="L1" s="7"/>
      <c r="M1" s="364" t="s">
        <v>57</v>
      </c>
      <c r="N1" s="365"/>
      <c r="O1" s="10" t="s">
        <v>58</v>
      </c>
      <c r="P1" s="7"/>
      <c r="Q1" s="7"/>
      <c r="R1" s="7"/>
      <c r="S1" s="7"/>
      <c r="T1" s="7"/>
    </row>
    <row r="2" spans="1:31" s="6" customFormat="1" ht="15" customHeight="1" x14ac:dyDescent="0.2">
      <c r="A2" s="173" t="str">
        <f>IF(O1="F","Dépôt régional","Regionallager")</f>
        <v>Dépôt régional</v>
      </c>
      <c r="B2" s="5"/>
      <c r="C2" s="5"/>
      <c r="D2" s="372" t="e">
        <f>VLOOKUP(D1,#REF!,3,0)</f>
        <v>#REF!</v>
      </c>
      <c r="E2" s="373"/>
      <c r="F2" s="373"/>
      <c r="G2" s="374"/>
      <c r="H2" s="8">
        <v>127</v>
      </c>
      <c r="I2" s="81" t="e">
        <f>VLOOKUP(D1,#REF!,8,0)</f>
        <v>#REF!</v>
      </c>
      <c r="K2" s="82" t="e">
        <f>DATE(O3,N3+1,0)</f>
        <v>#REF!</v>
      </c>
      <c r="L2" s="9"/>
      <c r="Q2" s="13">
        <v>4</v>
      </c>
      <c r="R2" s="8"/>
      <c r="S2" s="8"/>
    </row>
    <row r="3" spans="1:31" ht="12" customHeight="1" x14ac:dyDescent="0.2">
      <c r="A3" s="13"/>
      <c r="B3" s="13"/>
      <c r="C3" s="14"/>
      <c r="D3" s="13"/>
      <c r="M3" s="10" t="str">
        <f>IF(O1="F","Mois:","Monat;")</f>
        <v>Mois:</v>
      </c>
      <c r="N3" s="10">
        <v>3</v>
      </c>
      <c r="O3" s="11" t="e">
        <f>VLOOKUP(N3,#REF!,2,0)</f>
        <v>#REF!</v>
      </c>
      <c r="Q3" s="13">
        <v>5</v>
      </c>
    </row>
    <row r="4" spans="1:31" ht="15" customHeight="1" x14ac:dyDescent="0.2">
      <c r="A4" s="169"/>
      <c r="B4" s="13"/>
      <c r="C4" s="14"/>
      <c r="D4" s="368" t="str">
        <f>IF(O1="F","Cumulé FY12","Kumuliert FY12")</f>
        <v>Cumulé FY12</v>
      </c>
      <c r="E4" s="369"/>
      <c r="F4" s="368" t="str">
        <f>IF(O1="F","Objectif fin du mois","Ziel Ende Monat")</f>
        <v>Objectif fin du mois</v>
      </c>
      <c r="G4" s="369"/>
      <c r="H4" s="368" t="str">
        <f>IF(O1="F","Objectif FY12","Ziel FY12")</f>
        <v>Objectif FY12</v>
      </c>
      <c r="I4" s="369"/>
      <c r="J4" s="368" t="str">
        <f>IF(O1="F","Réalisation","Realisation")</f>
        <v>Réalisation</v>
      </c>
      <c r="K4" s="369"/>
      <c r="M4" s="10" t="s">
        <v>4</v>
      </c>
      <c r="N4" s="15" t="e">
        <f>D18</f>
        <v>#REF!</v>
      </c>
      <c r="Q4" s="13">
        <v>6</v>
      </c>
      <c r="R4" s="16"/>
    </row>
    <row r="5" spans="1:31" ht="3.75" customHeight="1" thickBot="1" x14ac:dyDescent="0.25">
      <c r="I5" s="13"/>
      <c r="Q5" s="13">
        <v>7</v>
      </c>
      <c r="R5" s="16"/>
    </row>
    <row r="6" spans="1:31" ht="31.5" customHeight="1" x14ac:dyDescent="0.2">
      <c r="A6" s="166" t="str">
        <f>IF(O1="F","Pièces conc. &amp; acc.","Konk. Teile &amp; Zubehör")</f>
        <v>Pièces conc. &amp; acc.</v>
      </c>
      <c r="B6" s="174" t="s">
        <v>60</v>
      </c>
      <c r="C6" s="18"/>
      <c r="D6" s="370" t="e">
        <f>E18</f>
        <v>#REF!</v>
      </c>
      <c r="E6" s="371"/>
      <c r="F6" s="380" t="e">
        <f>F18</f>
        <v>#REF!</v>
      </c>
      <c r="G6" s="381"/>
      <c r="H6" s="382" t="e">
        <f>F19</f>
        <v>#REF!</v>
      </c>
      <c r="I6" s="381"/>
      <c r="J6" s="376" t="e">
        <f>G18</f>
        <v>#REF!</v>
      </c>
      <c r="K6" s="377"/>
      <c r="Q6" s="13">
        <v>8</v>
      </c>
      <c r="R6" s="16"/>
      <c r="S6" s="20"/>
    </row>
    <row r="7" spans="1:31" ht="3" customHeight="1" x14ac:dyDescent="0.2">
      <c r="A7" s="21"/>
      <c r="B7" s="21"/>
      <c r="C7" s="18"/>
      <c r="D7" s="204"/>
      <c r="E7" s="205"/>
      <c r="F7" s="22"/>
      <c r="G7" s="23"/>
      <c r="H7" s="24"/>
      <c r="I7" s="24"/>
      <c r="J7" s="24"/>
      <c r="K7" s="24"/>
      <c r="Q7" s="13">
        <v>9</v>
      </c>
      <c r="R7" s="16"/>
    </row>
    <row r="8" spans="1:31" ht="18" customHeight="1" x14ac:dyDescent="0.2">
      <c r="A8" s="341" t="str">
        <f>IF(O1="F","Pièces concurrencées","Konkurrenzierte Teile")</f>
        <v>Pièces concurrencées</v>
      </c>
      <c r="B8" s="342"/>
      <c r="C8" s="18"/>
      <c r="D8" s="349" t="e">
        <f>VLOOKUP(D1,#REF!,4,0)</f>
        <v>#REF!</v>
      </c>
      <c r="E8" s="350"/>
      <c r="F8" s="203"/>
      <c r="G8" s="23"/>
      <c r="H8" s="24"/>
      <c r="I8" s="24"/>
      <c r="J8" s="24"/>
      <c r="K8" s="24"/>
      <c r="Q8" s="13">
        <v>10</v>
      </c>
      <c r="R8" s="16"/>
    </row>
    <row r="9" spans="1:31" ht="3" customHeight="1" x14ac:dyDescent="0.2">
      <c r="A9" s="21"/>
      <c r="B9" s="21"/>
      <c r="C9" s="18"/>
      <c r="D9" s="206"/>
      <c r="E9" s="207"/>
      <c r="F9" s="203"/>
      <c r="G9" s="23"/>
      <c r="H9" s="24"/>
      <c r="I9" s="24"/>
      <c r="J9" s="24"/>
      <c r="K9" s="24"/>
      <c r="Q9" s="13">
        <v>11</v>
      </c>
      <c r="R9" s="16"/>
    </row>
    <row r="10" spans="1:31" ht="18" customHeight="1" thickBot="1" x14ac:dyDescent="0.25">
      <c r="A10" s="341" t="str">
        <f>IF(O1="F","Accessoires","Zubehör")</f>
        <v>Accessoires</v>
      </c>
      <c r="B10" s="342"/>
      <c r="C10" s="18"/>
      <c r="D10" s="351" t="e">
        <f>VLOOKUP($D$1,#REF!,5,0)</f>
        <v>#REF!</v>
      </c>
      <c r="E10" s="352"/>
      <c r="F10" s="203"/>
      <c r="G10" s="23"/>
      <c r="H10" s="24"/>
      <c r="I10" s="24"/>
      <c r="J10" s="24"/>
      <c r="K10" s="24"/>
      <c r="Q10" s="13">
        <v>12</v>
      </c>
      <c r="R10" s="16"/>
    </row>
    <row r="11" spans="1:31" s="85" customFormat="1" ht="18" customHeight="1" x14ac:dyDescent="0.2">
      <c r="A11" s="88"/>
      <c r="B11" s="88"/>
      <c r="C11" s="229"/>
      <c r="D11" s="230"/>
      <c r="E11" s="230"/>
      <c r="F11" s="231"/>
      <c r="G11" s="232"/>
      <c r="H11" s="149"/>
      <c r="I11" s="149"/>
      <c r="J11" s="149"/>
      <c r="K11" s="149"/>
      <c r="Q11" s="233"/>
      <c r="R11" s="234"/>
    </row>
    <row r="12" spans="1:31" x14ac:dyDescent="0.2">
      <c r="A12" s="21"/>
      <c r="B12" s="21"/>
      <c r="C12" s="18"/>
      <c r="D12" s="368" t="str">
        <f>IF(O1="F","Réalisé FY12","Realisiert FY12")</f>
        <v>Réalisé FY12</v>
      </c>
      <c r="E12" s="378"/>
      <c r="F12" s="379"/>
      <c r="G12" s="368" t="str">
        <f>IF(O1="F","Réalisé FY11, même période","Realisiert FY11, gleiche Periode")</f>
        <v>Réalisé FY11, même période</v>
      </c>
      <c r="H12" s="378"/>
      <c r="I12" s="379"/>
      <c r="J12" s="368" t="str">
        <f>IF(O1="F","Evolution","Wachstum")</f>
        <v>Evolution</v>
      </c>
      <c r="K12" s="369"/>
      <c r="Q12" s="14">
        <v>1</v>
      </c>
      <c r="U12" s="20"/>
    </row>
    <row r="13" spans="1:31" s="17" customFormat="1" ht="3.75" customHeight="1" x14ac:dyDescent="0.2">
      <c r="D13" s="14"/>
      <c r="E13" s="14"/>
      <c r="F13" s="25"/>
      <c r="G13" s="14"/>
      <c r="H13" s="26"/>
      <c r="I13" s="26"/>
      <c r="J13" s="25"/>
      <c r="K13" s="25"/>
      <c r="Q13" s="13">
        <v>2</v>
      </c>
      <c r="R13" s="16"/>
    </row>
    <row r="14" spans="1:31" ht="24" customHeight="1" x14ac:dyDescent="0.2">
      <c r="A14" s="168" t="str">
        <f>IF(O1="F","CA total","Umsatz total")</f>
        <v>CA total</v>
      </c>
      <c r="B14" s="175" t="s">
        <v>61</v>
      </c>
      <c r="C14" s="27"/>
      <c r="D14" s="390" t="e">
        <f>E27</f>
        <v>#REF!</v>
      </c>
      <c r="E14" s="391"/>
      <c r="F14" s="392"/>
      <c r="G14" s="390" t="e">
        <f>F27</f>
        <v>#REF!</v>
      </c>
      <c r="H14" s="391"/>
      <c r="I14" s="392"/>
      <c r="J14" s="383" t="e">
        <f>G27</f>
        <v>#REF!</v>
      </c>
      <c r="K14" s="384"/>
      <c r="Q14" s="13">
        <v>3</v>
      </c>
    </row>
    <row r="15" spans="1:31" ht="12" customHeight="1" x14ac:dyDescent="0.2">
      <c r="T15" s="29"/>
      <c r="U15" s="29"/>
      <c r="V15" s="29"/>
      <c r="W15" s="29"/>
      <c r="X15" s="29"/>
      <c r="Y15" s="29"/>
      <c r="Z15" s="29"/>
      <c r="AA15" s="29"/>
      <c r="AB15" s="29"/>
      <c r="AC15" s="29"/>
      <c r="AD15" s="29"/>
      <c r="AE15" s="29"/>
    </row>
    <row r="16" spans="1:31" s="13" customFormat="1" ht="36" customHeight="1" x14ac:dyDescent="0.2">
      <c r="A16" s="167" t="str">
        <f>IF(O1="F","Pièces concurrencées et accessoires","Konk. Teile und Zubehör")</f>
        <v>Pièces concurrencées et accessoires</v>
      </c>
      <c r="B16" s="176" t="s">
        <v>60</v>
      </c>
      <c r="C16" s="18"/>
      <c r="D16" s="75" t="s">
        <v>4</v>
      </c>
      <c r="E16" s="76" t="str">
        <f>IF(O1="F","Réalisation 3.1","Realisation 3.1")</f>
        <v>Réalisation 3.1</v>
      </c>
      <c r="F16" s="76" t="str">
        <f>IF(O1="F","Objectif 3.1","Ziel 3.1")</f>
        <v>Objectif 3.1</v>
      </c>
      <c r="G16" s="77" t="str">
        <f>IF(O1="F","% réal.","% real.")</f>
        <v>% réal.</v>
      </c>
      <c r="H16" s="78" t="str">
        <f>IF(O1="F","Reste","Bleibt")</f>
        <v>Reste</v>
      </c>
      <c r="I16" s="79" t="s">
        <v>62</v>
      </c>
      <c r="J16" s="354" t="str">
        <f>IF(O1="F","Projection bonus","Planzahl Bonus")</f>
        <v>Projection bonus</v>
      </c>
      <c r="K16" s="355"/>
      <c r="Q16" s="12"/>
      <c r="Y16" s="30"/>
      <c r="AE16" s="20"/>
    </row>
    <row r="17" spans="1:22" s="17" customFormat="1" ht="3.75" customHeight="1" x14ac:dyDescent="0.2">
      <c r="D17" s="14"/>
      <c r="E17" s="14"/>
      <c r="F17" s="14"/>
      <c r="G17" s="14"/>
      <c r="H17" s="14"/>
      <c r="I17" s="14"/>
      <c r="J17" s="14"/>
      <c r="K17" s="14"/>
      <c r="Q17" s="42" t="s">
        <v>2</v>
      </c>
      <c r="R17" s="224"/>
    </row>
    <row r="18" spans="1:22" ht="13.5" customHeight="1" x14ac:dyDescent="0.2">
      <c r="A18" s="31" t="str">
        <f>IF($O$1="F","Réel au","Ist am")</f>
        <v>Réel au</v>
      </c>
      <c r="B18" s="32" t="e">
        <f>K2</f>
        <v>#REF!</v>
      </c>
      <c r="C18" s="18"/>
      <c r="D18" s="33" t="e">
        <f>VLOOKUP(N3,#REF!,4,0)</f>
        <v>#REF!</v>
      </c>
      <c r="E18" s="181" t="e">
        <f>VLOOKUP(D1,#REF!,7,0)</f>
        <v>#REF!</v>
      </c>
      <c r="F18" s="188" t="e">
        <f>F19*D18</f>
        <v>#REF!</v>
      </c>
      <c r="G18" s="34" t="e">
        <f>E18/F18</f>
        <v>#REF!</v>
      </c>
      <c r="H18" s="189" t="e">
        <f>F18-E18</f>
        <v>#REF!</v>
      </c>
      <c r="I18" s="67" t="e">
        <f>IF(G18&lt;0.95,0,IF(G18&lt;1,0.04,IF(G18&lt;1.05,0.06,IF(G18&lt;1.1,0.08,IF(G18&gt;=1.1,0.1)))))</f>
        <v>#REF!</v>
      </c>
      <c r="J18" s="388" t="e">
        <f>I18*G18*F18</f>
        <v>#REF!</v>
      </c>
      <c r="K18" s="389"/>
      <c r="Q18" s="101">
        <v>3</v>
      </c>
      <c r="R18" s="183" t="s">
        <v>59</v>
      </c>
      <c r="S18" s="35"/>
      <c r="T18" s="35"/>
      <c r="U18" s="36"/>
      <c r="V18" s="36"/>
    </row>
    <row r="19" spans="1:22" ht="13.5" customHeight="1" x14ac:dyDescent="0.2">
      <c r="A19" s="37" t="str">
        <f>IF($O$1="F","Projection au","Planzahl am")</f>
        <v>Projection au</v>
      </c>
      <c r="B19" s="335">
        <v>41364</v>
      </c>
      <c r="C19" s="38"/>
      <c r="D19" s="338">
        <v>1</v>
      </c>
      <c r="E19" s="193" t="e">
        <f>F19*G19</f>
        <v>#REF!</v>
      </c>
      <c r="F19" s="385" t="e">
        <f>VLOOKUP(D1,#REF!,7,0)</f>
        <v>#REF!</v>
      </c>
      <c r="G19" s="39" t="e">
        <f>G18</f>
        <v>#REF!</v>
      </c>
      <c r="H19" s="190" t="e">
        <f>F19-E19</f>
        <v>#REF!</v>
      </c>
      <c r="I19" s="68" t="e">
        <f>IF(G19&lt;0.95,0,IF(G19&lt;1,0.04,IF(G19&lt;1.05,0.06,IF(G19&lt;1.1,0.08,IF(G19&gt;=1.1,0.1)))))</f>
        <v>#REF!</v>
      </c>
      <c r="J19" s="347" t="e">
        <f>I19*G19*F19</f>
        <v>#REF!</v>
      </c>
      <c r="K19" s="348"/>
      <c r="Q19" s="101">
        <v>4</v>
      </c>
      <c r="R19" s="183" t="s">
        <v>59</v>
      </c>
      <c r="S19" s="35"/>
      <c r="T19" s="35"/>
      <c r="U19" s="35"/>
      <c r="V19" s="35"/>
    </row>
    <row r="20" spans="1:22" ht="13.5" customHeight="1" x14ac:dyDescent="0.2">
      <c r="A20" s="40" t="str">
        <f>IF(O1="F","Réal. 95% au","Real. 95% am")</f>
        <v>Réal. 95% au</v>
      </c>
      <c r="B20" s="336"/>
      <c r="C20" s="14"/>
      <c r="D20" s="339"/>
      <c r="E20" s="194" t="e">
        <f>F19*G20</f>
        <v>#REF!</v>
      </c>
      <c r="F20" s="386"/>
      <c r="G20" s="41">
        <v>0.95</v>
      </c>
      <c r="H20" s="191" t="e">
        <f>E20-$E$18</f>
        <v>#REF!</v>
      </c>
      <c r="I20" s="69">
        <v>0.04</v>
      </c>
      <c r="J20" s="343" t="e">
        <f>I20*G20*F19</f>
        <v>#REF!</v>
      </c>
      <c r="K20" s="344"/>
      <c r="Q20" s="101">
        <v>5</v>
      </c>
      <c r="R20" s="183" t="s">
        <v>59</v>
      </c>
      <c r="S20" s="35"/>
      <c r="T20" s="35"/>
      <c r="U20" s="35"/>
      <c r="V20" s="35"/>
    </row>
    <row r="21" spans="1:22" ht="13.5" customHeight="1" x14ac:dyDescent="0.2">
      <c r="A21" s="43" t="str">
        <f>IF(O1="F","Réal. 100% au","Real. 100% am")</f>
        <v>Réal. 100% au</v>
      </c>
      <c r="B21" s="336"/>
      <c r="C21" s="14"/>
      <c r="D21" s="339"/>
      <c r="E21" s="195" t="e">
        <f>F19*G21</f>
        <v>#REF!</v>
      </c>
      <c r="F21" s="386"/>
      <c r="G21" s="44">
        <v>1</v>
      </c>
      <c r="H21" s="191" t="e">
        <f>E21-$E$18</f>
        <v>#REF!</v>
      </c>
      <c r="I21" s="70">
        <v>0.06</v>
      </c>
      <c r="J21" s="343" t="e">
        <f>I21*G21*F19</f>
        <v>#REF!</v>
      </c>
      <c r="K21" s="344"/>
      <c r="Q21" s="183">
        <v>6</v>
      </c>
      <c r="R21" s="183" t="s">
        <v>59</v>
      </c>
      <c r="S21" s="35"/>
      <c r="T21" s="35"/>
      <c r="U21" s="35"/>
      <c r="V21" s="35"/>
    </row>
    <row r="22" spans="1:22" ht="13.5" customHeight="1" x14ac:dyDescent="0.2">
      <c r="A22" s="43" t="str">
        <f>IF(O1="F","Réal. 105% au","Real. 105% am")</f>
        <v>Réal. 105% au</v>
      </c>
      <c r="B22" s="336"/>
      <c r="C22" s="14"/>
      <c r="D22" s="339"/>
      <c r="E22" s="195" t="e">
        <f>F19*G22</f>
        <v>#REF!</v>
      </c>
      <c r="F22" s="386"/>
      <c r="G22" s="44">
        <v>1.05</v>
      </c>
      <c r="H22" s="191" t="e">
        <f>E22-$E$18</f>
        <v>#REF!</v>
      </c>
      <c r="I22" s="70">
        <v>0.08</v>
      </c>
      <c r="J22" s="343" t="e">
        <f>I22*G22*F19</f>
        <v>#REF!</v>
      </c>
      <c r="K22" s="344"/>
      <c r="Q22" s="101">
        <v>7</v>
      </c>
      <c r="R22" s="183" t="s">
        <v>58</v>
      </c>
      <c r="S22" s="35"/>
      <c r="T22" s="35"/>
      <c r="U22" s="35"/>
      <c r="V22" s="35"/>
    </row>
    <row r="23" spans="1:22" ht="13.5" customHeight="1" x14ac:dyDescent="0.2">
      <c r="A23" s="45" t="str">
        <f>IF(O1="F","Réal. 110% au","Real. 110% am")</f>
        <v>Réal. 110% au</v>
      </c>
      <c r="B23" s="337"/>
      <c r="C23" s="14"/>
      <c r="D23" s="340"/>
      <c r="E23" s="196" t="e">
        <f>F19*G23</f>
        <v>#REF!</v>
      </c>
      <c r="F23" s="387"/>
      <c r="G23" s="46">
        <v>1.1000000000000001</v>
      </c>
      <c r="H23" s="192" t="e">
        <f>E23-$E$18</f>
        <v>#REF!</v>
      </c>
      <c r="I23" s="71">
        <v>0.1</v>
      </c>
      <c r="J23" s="345" t="e">
        <f>I23*G23*F19</f>
        <v>#REF!</v>
      </c>
      <c r="K23" s="346"/>
      <c r="Q23" s="101">
        <v>8</v>
      </c>
      <c r="R23" s="183" t="s">
        <v>59</v>
      </c>
      <c r="S23" s="35"/>
      <c r="T23" s="35"/>
      <c r="U23" s="36"/>
      <c r="V23" s="36"/>
    </row>
    <row r="24" spans="1:22" s="85" customFormat="1" ht="13.5" customHeight="1" x14ac:dyDescent="0.2">
      <c r="A24" s="87"/>
      <c r="B24" s="86"/>
      <c r="C24" s="86"/>
      <c r="D24" s="184"/>
      <c r="E24" s="185"/>
      <c r="F24" s="185"/>
      <c r="G24" s="150"/>
      <c r="H24" s="185"/>
      <c r="I24" s="150"/>
      <c r="J24" s="185"/>
      <c r="K24" s="185"/>
      <c r="Q24" s="101">
        <v>9</v>
      </c>
      <c r="R24" s="183" t="s">
        <v>58</v>
      </c>
      <c r="S24" s="186"/>
      <c r="T24" s="186"/>
      <c r="U24" s="187"/>
      <c r="V24" s="187"/>
    </row>
    <row r="25" spans="1:22" ht="34.5" customHeight="1" x14ac:dyDescent="0.2">
      <c r="A25" s="165" t="str">
        <f>IF(O1="F","Croissance du chiffre d'affaires","Umsatzwachstum")</f>
        <v>Croissance du chiffre d'affaires</v>
      </c>
      <c r="B25" s="177" t="s">
        <v>61</v>
      </c>
      <c r="C25" s="18"/>
      <c r="D25" s="50"/>
      <c r="E25" s="76" t="str">
        <f>IF(O1="F","Réalisation CA","Total Umsatz netto")</f>
        <v>Réalisation CA</v>
      </c>
      <c r="F25" s="76" t="str">
        <f>IF(O1="F","CA A-1","Umsatz J-1")</f>
        <v>CA A-1</v>
      </c>
      <c r="G25" s="77" t="str">
        <f>IF(O1="F","% évolution","% Entwicklung")</f>
        <v>% évolution</v>
      </c>
      <c r="H25" s="171" t="str">
        <f>IF(O1="F","Reste","Bleibt")</f>
        <v>Reste</v>
      </c>
      <c r="I25" s="79" t="s">
        <v>62</v>
      </c>
      <c r="J25" s="354" t="str">
        <f>IF(O1="F","Projection bonus","Planzahl Bonus")</f>
        <v>Projection bonus</v>
      </c>
      <c r="K25" s="355"/>
      <c r="Q25" s="101">
        <v>12</v>
      </c>
      <c r="R25" s="183" t="s">
        <v>59</v>
      </c>
    </row>
    <row r="26" spans="1:22" s="17" customFormat="1" ht="3.75" customHeight="1" x14ac:dyDescent="0.2">
      <c r="D26" s="14"/>
      <c r="E26" s="14"/>
      <c r="F26" s="14"/>
      <c r="G26" s="14"/>
      <c r="H26" s="170"/>
      <c r="I26" s="14"/>
      <c r="J26" s="170"/>
      <c r="K26" s="170"/>
      <c r="Q26" s="101">
        <v>13</v>
      </c>
      <c r="R26" s="183" t="s">
        <v>58</v>
      </c>
    </row>
    <row r="27" spans="1:22" ht="13.5" customHeight="1" x14ac:dyDescent="0.2">
      <c r="A27" s="31" t="str">
        <f>IF($O$1="F","Réel au","Ist am")</f>
        <v>Réel au</v>
      </c>
      <c r="B27" s="32" t="e">
        <f>K2</f>
        <v>#REF!</v>
      </c>
      <c r="C27" s="18"/>
      <c r="D27" s="52"/>
      <c r="E27" s="182" t="e">
        <f>VLOOKUP($D$1,#REF!,3,0)</f>
        <v>#REF!</v>
      </c>
      <c r="F27" s="225" t="e">
        <f>INDEX(#REF!,MATCH(D1,#REF!,0),MATCH('TDB F+D'!N3,#REF!,0))</f>
        <v>#REF!</v>
      </c>
      <c r="G27" s="53" t="e">
        <f>(E27-F27)/F27</f>
        <v>#REF!</v>
      </c>
      <c r="H27" s="172"/>
      <c r="I27" s="54" t="e">
        <f>IF(G27&lt;0.025,0,IF(G27&lt;0.05,0.0025,IF(G27&lt;0.075,0.005,IF(G27&lt;0.1,0.0075,IF(G27&gt;=0.1,0.0125)))))</f>
        <v>#REF!</v>
      </c>
      <c r="J27" s="356" t="e">
        <f t="shared" ref="J27:J32" si="0">I27*E27</f>
        <v>#REF!</v>
      </c>
      <c r="K27" s="357"/>
      <c r="Q27" s="101">
        <v>15</v>
      </c>
      <c r="R27" s="183" t="s">
        <v>59</v>
      </c>
    </row>
    <row r="28" spans="1:22" ht="13.5" customHeight="1" x14ac:dyDescent="0.2">
      <c r="A28" s="37" t="str">
        <f>IF($O$1="F","Projection au","Planzahl am")</f>
        <v>Projection au</v>
      </c>
      <c r="B28" s="335">
        <v>41364</v>
      </c>
      <c r="C28" s="38"/>
      <c r="D28" s="353"/>
      <c r="E28" s="197" t="e">
        <f>F28*(1+G28)</f>
        <v>#REF!</v>
      </c>
      <c r="F28" s="358" t="e">
        <f>VLOOKUP(D1,#REF!,13,0)</f>
        <v>#REF!</v>
      </c>
      <c r="G28" s="55" t="e">
        <f>G27</f>
        <v>#REF!</v>
      </c>
      <c r="H28" s="200" t="e">
        <f>E28-E27</f>
        <v>#REF!</v>
      </c>
      <c r="I28" s="72" t="e">
        <f>I27</f>
        <v>#REF!</v>
      </c>
      <c r="J28" s="361" t="e">
        <f t="shared" si="0"/>
        <v>#REF!</v>
      </c>
      <c r="K28" s="348"/>
      <c r="Q28" s="101">
        <v>18</v>
      </c>
      <c r="R28" s="183" t="s">
        <v>59</v>
      </c>
    </row>
    <row r="29" spans="1:22" ht="13.5" customHeight="1" x14ac:dyDescent="0.2">
      <c r="A29" s="178" t="str">
        <f>IF($O$1="F","Pr. pour 0.25% ri. au","* Für 0.25% am")</f>
        <v>Pr. pour 0.25% ri. au</v>
      </c>
      <c r="B29" s="336"/>
      <c r="C29" s="38"/>
      <c r="D29" s="353"/>
      <c r="E29" s="198" t="e">
        <f>F28*(1+G29)</f>
        <v>#REF!</v>
      </c>
      <c r="F29" s="359"/>
      <c r="G29" s="56">
        <v>2.5000000000000001E-2</v>
      </c>
      <c r="H29" s="201" t="e">
        <f>E29-E27</f>
        <v>#REF!</v>
      </c>
      <c r="I29" s="73">
        <v>2.5000000000000001E-3</v>
      </c>
      <c r="J29" s="362" t="e">
        <f t="shared" si="0"/>
        <v>#REF!</v>
      </c>
      <c r="K29" s="363"/>
      <c r="Q29" s="101">
        <v>21</v>
      </c>
      <c r="R29" s="183" t="s">
        <v>59</v>
      </c>
    </row>
    <row r="30" spans="1:22" ht="13.5" customHeight="1" x14ac:dyDescent="0.2">
      <c r="A30" s="58" t="str">
        <f>IF($O$1="F","Pr. pour 0.5% ri. au","* Für 0.5% am")</f>
        <v>Pr. pour 0.5% ri. au</v>
      </c>
      <c r="B30" s="336"/>
      <c r="C30" s="38"/>
      <c r="D30" s="353"/>
      <c r="E30" s="198" t="e">
        <f>F28*(1+G30)</f>
        <v>#REF!</v>
      </c>
      <c r="F30" s="359"/>
      <c r="G30" s="56">
        <v>0.05</v>
      </c>
      <c r="H30" s="201" t="e">
        <f>E30-E27</f>
        <v>#REF!</v>
      </c>
      <c r="I30" s="73">
        <v>5.0000000000000001E-3</v>
      </c>
      <c r="J30" s="362" t="e">
        <f t="shared" si="0"/>
        <v>#REF!</v>
      </c>
      <c r="K30" s="363"/>
      <c r="Q30" s="101">
        <v>23</v>
      </c>
      <c r="R30" s="183" t="s">
        <v>58</v>
      </c>
    </row>
    <row r="31" spans="1:22" ht="13.5" customHeight="1" x14ac:dyDescent="0.2">
      <c r="A31" s="58" t="str">
        <f>IF($O$1="F","Pr. pour 0.75% ri. au","* Für 0.75% am")</f>
        <v>Pr. pour 0.75% ri. au</v>
      </c>
      <c r="B31" s="336"/>
      <c r="C31" s="38"/>
      <c r="D31" s="353"/>
      <c r="E31" s="198" t="e">
        <f>F28*(1+G31)</f>
        <v>#REF!</v>
      </c>
      <c r="F31" s="359"/>
      <c r="G31" s="56">
        <v>7.4999999999999997E-2</v>
      </c>
      <c r="H31" s="201" t="e">
        <f>E31-E27</f>
        <v>#REF!</v>
      </c>
      <c r="I31" s="73">
        <v>7.4999999999999997E-3</v>
      </c>
      <c r="J31" s="362" t="e">
        <f t="shared" si="0"/>
        <v>#REF!</v>
      </c>
      <c r="K31" s="363"/>
      <c r="Q31" s="101">
        <v>24</v>
      </c>
      <c r="R31" s="183" t="s">
        <v>59</v>
      </c>
    </row>
    <row r="32" spans="1:22" ht="13.5" customHeight="1" x14ac:dyDescent="0.2">
      <c r="A32" s="45" t="str">
        <f>IF($O$1="F","Pr. pour 1.25% ri. au","* Für 1.25% am")</f>
        <v>Pr. pour 1.25% ri. au</v>
      </c>
      <c r="B32" s="337"/>
      <c r="C32" s="38"/>
      <c r="D32" s="353"/>
      <c r="E32" s="199" t="e">
        <f>F28*(1+G32)</f>
        <v>#REF!</v>
      </c>
      <c r="F32" s="360"/>
      <c r="G32" s="59">
        <v>0.1</v>
      </c>
      <c r="H32" s="202" t="e">
        <f>E32-E27</f>
        <v>#REF!</v>
      </c>
      <c r="I32" s="74">
        <v>1.2500000000000001E-2</v>
      </c>
      <c r="J32" s="345" t="e">
        <f t="shared" si="0"/>
        <v>#REF!</v>
      </c>
      <c r="K32" s="346"/>
      <c r="Q32" s="101">
        <v>26</v>
      </c>
      <c r="R32" s="183" t="s">
        <v>59</v>
      </c>
    </row>
    <row r="33" spans="1:22" ht="12.75" x14ac:dyDescent="0.2">
      <c r="A33" s="17"/>
      <c r="B33" s="14"/>
      <c r="C33" s="14"/>
      <c r="Q33" s="101">
        <v>35</v>
      </c>
      <c r="R33" s="183" t="s">
        <v>59</v>
      </c>
      <c r="S33" s="35"/>
      <c r="T33" s="35"/>
      <c r="U33" s="36"/>
      <c r="V33" s="36"/>
    </row>
    <row r="34" spans="1:22" ht="12.75" x14ac:dyDescent="0.2">
      <c r="A34" s="179" t="str">
        <f>IF(O1="F","","*Umsatz Planzahl für x Rückvergütung am")</f>
        <v/>
      </c>
      <c r="B34" s="61"/>
      <c r="C34" s="61"/>
      <c r="Q34" s="101">
        <v>57</v>
      </c>
      <c r="R34" s="183" t="s">
        <v>59</v>
      </c>
    </row>
    <row r="35" spans="1:22" ht="12.75" x14ac:dyDescent="0.2">
      <c r="A35" s="16"/>
      <c r="B35" s="20"/>
      <c r="C35" s="12"/>
      <c r="Q35" s="101">
        <v>65</v>
      </c>
      <c r="R35" s="183" t="s">
        <v>58</v>
      </c>
    </row>
    <row r="36" spans="1:22" ht="12.75" x14ac:dyDescent="0.2">
      <c r="A36" s="84"/>
      <c r="B36" s="87"/>
      <c r="C36" s="87"/>
      <c r="D36" s="87"/>
      <c r="E36" s="87"/>
      <c r="F36" s="87"/>
      <c r="G36" s="87"/>
      <c r="H36" s="87"/>
      <c r="I36" s="87"/>
      <c r="Q36" s="101">
        <v>68</v>
      </c>
      <c r="R36" s="183" t="s">
        <v>58</v>
      </c>
    </row>
    <row r="37" spans="1:22" ht="12.75" x14ac:dyDescent="0.2">
      <c r="A37" s="87"/>
      <c r="B37" s="87"/>
      <c r="C37" s="87"/>
      <c r="D37" s="149"/>
      <c r="E37" s="87"/>
      <c r="F37" s="87"/>
      <c r="G37" s="87"/>
      <c r="H37" s="87"/>
      <c r="I37" s="87"/>
      <c r="Q37" s="101">
        <v>76</v>
      </c>
      <c r="R37" s="183" t="s">
        <v>59</v>
      </c>
    </row>
    <row r="38" spans="1:22" ht="12.75" x14ac:dyDescent="0.2">
      <c r="A38" s="84"/>
      <c r="B38" s="87"/>
      <c r="C38" s="87"/>
      <c r="D38" s="87"/>
      <c r="E38" s="87"/>
      <c r="F38" s="87"/>
      <c r="G38" s="87"/>
      <c r="H38" s="87"/>
      <c r="I38" s="87"/>
      <c r="L38" s="17"/>
      <c r="M38" s="17"/>
      <c r="Q38" s="101">
        <v>93</v>
      </c>
      <c r="R38" s="183" t="s">
        <v>59</v>
      </c>
    </row>
    <row r="39" spans="1:22" ht="12.75" x14ac:dyDescent="0.2">
      <c r="A39" s="161"/>
      <c r="B39" s="87"/>
      <c r="C39" s="162"/>
      <c r="D39" s="87"/>
      <c r="E39" s="163"/>
      <c r="F39" s="375"/>
      <c r="G39" s="375"/>
      <c r="H39" s="375"/>
      <c r="I39" s="87"/>
      <c r="J39" s="6"/>
      <c r="Q39" s="101">
        <v>97</v>
      </c>
      <c r="R39" s="183" t="s">
        <v>59</v>
      </c>
    </row>
    <row r="40" spans="1:22" ht="12.75" x14ac:dyDescent="0.2">
      <c r="A40" s="161"/>
      <c r="B40" s="87"/>
      <c r="C40" s="87"/>
      <c r="D40" s="87"/>
      <c r="E40" s="375"/>
      <c r="F40" s="375"/>
      <c r="G40" s="375"/>
      <c r="H40" s="375"/>
      <c r="I40" s="87"/>
      <c r="J40" s="6"/>
      <c r="Q40" s="101">
        <v>102</v>
      </c>
      <c r="R40" s="183" t="s">
        <v>59</v>
      </c>
    </row>
    <row r="41" spans="1:22" ht="12.75" x14ac:dyDescent="0.2">
      <c r="A41" s="86"/>
      <c r="B41" s="87"/>
      <c r="C41" s="164"/>
      <c r="D41" s="87"/>
      <c r="E41" s="87"/>
      <c r="F41" s="87"/>
      <c r="G41" s="87"/>
      <c r="H41" s="87"/>
      <c r="I41" s="87"/>
      <c r="Q41" s="101">
        <v>105</v>
      </c>
      <c r="R41" s="183" t="s">
        <v>59</v>
      </c>
    </row>
    <row r="42" spans="1:22" ht="12.75" x14ac:dyDescent="0.2">
      <c r="A42" s="13"/>
      <c r="C42" s="3"/>
      <c r="Q42" s="101">
        <v>108</v>
      </c>
      <c r="R42" s="183" t="s">
        <v>59</v>
      </c>
    </row>
    <row r="43" spans="1:22" ht="12.75" x14ac:dyDescent="0.2">
      <c r="A43" s="13"/>
      <c r="C43" s="3"/>
      <c r="Q43" s="101">
        <v>114</v>
      </c>
      <c r="R43" s="183" t="s">
        <v>58</v>
      </c>
    </row>
    <row r="44" spans="1:22" ht="12.75" x14ac:dyDescent="0.2">
      <c r="A44" s="13"/>
      <c r="C44" s="3"/>
      <c r="Q44" s="101">
        <v>115</v>
      </c>
      <c r="R44" s="183" t="s">
        <v>59</v>
      </c>
    </row>
    <row r="45" spans="1:22" ht="12.75" x14ac:dyDescent="0.2">
      <c r="B45" s="2"/>
      <c r="C45" s="62"/>
      <c r="Q45" s="101">
        <v>116</v>
      </c>
      <c r="R45" s="183" t="s">
        <v>58</v>
      </c>
    </row>
    <row r="46" spans="1:22" ht="12.75" x14ac:dyDescent="0.2">
      <c r="Q46" s="101">
        <v>117</v>
      </c>
      <c r="R46" s="183" t="s">
        <v>59</v>
      </c>
    </row>
    <row r="47" spans="1:22" ht="12.75" x14ac:dyDescent="0.2">
      <c r="I47" s="4"/>
      <c r="Q47" s="101">
        <v>119</v>
      </c>
      <c r="R47" s="183" t="s">
        <v>59</v>
      </c>
    </row>
    <row r="48" spans="1:22" ht="12.75" x14ac:dyDescent="0.2">
      <c r="Q48" s="101">
        <v>120</v>
      </c>
      <c r="R48" s="183" t="s">
        <v>59</v>
      </c>
    </row>
    <row r="49" spans="3:18" s="4" customFormat="1" ht="12.75" x14ac:dyDescent="0.2">
      <c r="I49" s="63"/>
      <c r="Q49" s="101">
        <v>122</v>
      </c>
      <c r="R49" s="183" t="s">
        <v>59</v>
      </c>
    </row>
    <row r="50" spans="3:18" ht="12.75" x14ac:dyDescent="0.2">
      <c r="Q50" s="101">
        <v>123</v>
      </c>
      <c r="R50" s="183" t="s">
        <v>59</v>
      </c>
    </row>
    <row r="51" spans="3:18" s="63" customFormat="1" ht="12.75" x14ac:dyDescent="0.2">
      <c r="C51" s="64"/>
      <c r="I51" s="12"/>
      <c r="Q51" s="101">
        <v>124</v>
      </c>
      <c r="R51" s="183" t="s">
        <v>58</v>
      </c>
    </row>
    <row r="52" spans="3:18" ht="12.75" x14ac:dyDescent="0.2">
      <c r="D52" s="16"/>
      <c r="E52" s="16"/>
      <c r="F52" s="65"/>
      <c r="G52" s="66"/>
      <c r="Q52" s="101">
        <v>126</v>
      </c>
      <c r="R52" s="183" t="s">
        <v>59</v>
      </c>
    </row>
    <row r="53" spans="3:18" ht="12.75" x14ac:dyDescent="0.2">
      <c r="D53" s="16"/>
      <c r="E53" s="16"/>
      <c r="F53" s="65"/>
      <c r="G53" s="66"/>
      <c r="Q53" s="101">
        <v>128</v>
      </c>
      <c r="R53" s="183" t="s">
        <v>59</v>
      </c>
    </row>
    <row r="54" spans="3:18" ht="12.75" x14ac:dyDescent="0.2">
      <c r="D54" s="16"/>
      <c r="E54" s="16"/>
      <c r="F54" s="65"/>
      <c r="G54" s="66"/>
      <c r="Q54" s="101">
        <v>137</v>
      </c>
      <c r="R54" s="183" t="s">
        <v>59</v>
      </c>
    </row>
    <row r="55" spans="3:18" ht="12.75" x14ac:dyDescent="0.2">
      <c r="D55" s="16"/>
      <c r="E55" s="16"/>
      <c r="F55" s="65"/>
      <c r="G55" s="66"/>
      <c r="Q55" s="101">
        <v>143</v>
      </c>
      <c r="R55" s="183" t="s">
        <v>59</v>
      </c>
    </row>
    <row r="56" spans="3:18" ht="12.75" x14ac:dyDescent="0.2">
      <c r="D56" s="16"/>
      <c r="E56" s="16"/>
      <c r="F56" s="65"/>
      <c r="G56" s="66"/>
      <c r="Q56" s="101">
        <v>147</v>
      </c>
      <c r="R56" s="183" t="s">
        <v>59</v>
      </c>
    </row>
    <row r="57" spans="3:18" ht="12.75" x14ac:dyDescent="0.2">
      <c r="D57" s="16"/>
      <c r="E57" s="16"/>
      <c r="F57" s="65"/>
      <c r="G57" s="66"/>
      <c r="Q57" s="101">
        <v>153</v>
      </c>
      <c r="R57" s="183" t="s">
        <v>59</v>
      </c>
    </row>
    <row r="58" spans="3:18" ht="12.75" x14ac:dyDescent="0.2">
      <c r="D58" s="16"/>
      <c r="E58" s="16"/>
      <c r="F58" s="65"/>
      <c r="G58" s="66"/>
      <c r="Q58" s="101">
        <v>168</v>
      </c>
      <c r="R58" s="183" t="s">
        <v>58</v>
      </c>
    </row>
    <row r="59" spans="3:18" ht="12.75" x14ac:dyDescent="0.2">
      <c r="D59" s="16"/>
      <c r="E59" s="16"/>
      <c r="F59" s="65"/>
      <c r="G59" s="66"/>
      <c r="Q59" s="101">
        <v>182</v>
      </c>
      <c r="R59" s="183" t="s">
        <v>59</v>
      </c>
    </row>
    <row r="60" spans="3:18" ht="12.75" x14ac:dyDescent="0.2">
      <c r="D60" s="16"/>
      <c r="E60" s="16"/>
      <c r="F60" s="65"/>
      <c r="G60" s="66"/>
      <c r="Q60" s="101">
        <v>183</v>
      </c>
      <c r="R60" s="183" t="s">
        <v>59</v>
      </c>
    </row>
    <row r="61" spans="3:18" ht="12.75" x14ac:dyDescent="0.2">
      <c r="D61" s="16"/>
      <c r="E61" s="16"/>
      <c r="F61" s="65"/>
      <c r="G61" s="66"/>
      <c r="Q61" s="101">
        <v>184</v>
      </c>
      <c r="R61" s="183" t="s">
        <v>59</v>
      </c>
    </row>
    <row r="62" spans="3:18" ht="12.75" x14ac:dyDescent="0.2">
      <c r="D62" s="16"/>
      <c r="E62" s="16"/>
      <c r="F62" s="65"/>
      <c r="G62" s="66"/>
      <c r="Q62" s="101">
        <v>185</v>
      </c>
      <c r="R62" s="183" t="s">
        <v>59</v>
      </c>
    </row>
    <row r="63" spans="3:18" ht="12.75" x14ac:dyDescent="0.2">
      <c r="Q63" s="101">
        <v>189</v>
      </c>
      <c r="R63" s="183" t="s">
        <v>59</v>
      </c>
    </row>
    <row r="64" spans="3:18" ht="12.75" x14ac:dyDescent="0.2">
      <c r="Q64" s="101">
        <v>191</v>
      </c>
      <c r="R64" s="183" t="s">
        <v>59</v>
      </c>
    </row>
    <row r="65" spans="17:18" ht="12.75" x14ac:dyDescent="0.2">
      <c r="Q65" s="101">
        <v>192</v>
      </c>
      <c r="R65" s="183" t="s">
        <v>59</v>
      </c>
    </row>
    <row r="66" spans="17:18" ht="12.75" x14ac:dyDescent="0.2">
      <c r="Q66" s="101">
        <v>201</v>
      </c>
      <c r="R66" s="183" t="s">
        <v>59</v>
      </c>
    </row>
    <row r="67" spans="17:18" ht="12.75" x14ac:dyDescent="0.2">
      <c r="Q67" s="101">
        <v>208</v>
      </c>
      <c r="R67" s="183" t="s">
        <v>59</v>
      </c>
    </row>
    <row r="68" spans="17:18" ht="12.75" x14ac:dyDescent="0.2">
      <c r="Q68" s="101">
        <v>216</v>
      </c>
      <c r="R68" s="183" t="s">
        <v>58</v>
      </c>
    </row>
    <row r="69" spans="17:18" ht="12.75" x14ac:dyDescent="0.2">
      <c r="Q69" s="101">
        <v>239</v>
      </c>
      <c r="R69" s="183" t="s">
        <v>59</v>
      </c>
    </row>
    <row r="70" spans="17:18" ht="12.75" x14ac:dyDescent="0.2">
      <c r="Q70" s="101">
        <v>242</v>
      </c>
      <c r="R70" s="183" t="s">
        <v>59</v>
      </c>
    </row>
    <row r="71" spans="17:18" ht="12.75" x14ac:dyDescent="0.2">
      <c r="Q71" s="109">
        <v>246</v>
      </c>
      <c r="R71" s="183" t="s">
        <v>59</v>
      </c>
    </row>
    <row r="72" spans="17:18" ht="12.75" x14ac:dyDescent="0.2">
      <c r="Q72" s="101">
        <v>249</v>
      </c>
      <c r="R72" s="183" t="s">
        <v>59</v>
      </c>
    </row>
    <row r="73" spans="17:18" ht="12.75" x14ac:dyDescent="0.2">
      <c r="Q73" s="101">
        <v>266</v>
      </c>
      <c r="R73" s="183" t="s">
        <v>58</v>
      </c>
    </row>
    <row r="74" spans="17:18" ht="12.75" x14ac:dyDescent="0.2">
      <c r="Q74" s="101">
        <v>271</v>
      </c>
      <c r="R74" s="183" t="s">
        <v>59</v>
      </c>
    </row>
    <row r="75" spans="17:18" ht="12.75" x14ac:dyDescent="0.2">
      <c r="Q75" s="101">
        <v>273</v>
      </c>
      <c r="R75" s="183" t="s">
        <v>59</v>
      </c>
    </row>
    <row r="76" spans="17:18" ht="12.75" x14ac:dyDescent="0.2">
      <c r="Q76" s="101">
        <v>326</v>
      </c>
      <c r="R76" s="183" t="s">
        <v>59</v>
      </c>
    </row>
    <row r="77" spans="17:18" ht="12.75" x14ac:dyDescent="0.2">
      <c r="Q77" s="101">
        <v>327</v>
      </c>
      <c r="R77" s="183" t="s">
        <v>59</v>
      </c>
    </row>
    <row r="78" spans="17:18" ht="12.75" x14ac:dyDescent="0.2">
      <c r="Q78" s="101">
        <v>336</v>
      </c>
      <c r="R78" s="183" t="s">
        <v>59</v>
      </c>
    </row>
    <row r="79" spans="17:18" ht="12.75" x14ac:dyDescent="0.2">
      <c r="Q79" s="101">
        <v>352</v>
      </c>
      <c r="R79" s="183" t="s">
        <v>59</v>
      </c>
    </row>
    <row r="80" spans="17:18" ht="12.75" x14ac:dyDescent="0.2">
      <c r="Q80" s="101">
        <v>363</v>
      </c>
      <c r="R80" s="183" t="s">
        <v>59</v>
      </c>
    </row>
    <row r="81" spans="17:18" ht="12.75" x14ac:dyDescent="0.2">
      <c r="Q81" s="101">
        <v>366</v>
      </c>
      <c r="R81" s="183" t="s">
        <v>59</v>
      </c>
    </row>
    <row r="82" spans="17:18" ht="12.75" x14ac:dyDescent="0.2">
      <c r="Q82" s="101">
        <v>369</v>
      </c>
      <c r="R82" s="183" t="s">
        <v>59</v>
      </c>
    </row>
    <row r="83" spans="17:18" ht="12.75" x14ac:dyDescent="0.2">
      <c r="Q83" s="101">
        <v>380</v>
      </c>
      <c r="R83" s="183" t="s">
        <v>59</v>
      </c>
    </row>
    <row r="84" spans="17:18" ht="12.75" x14ac:dyDescent="0.2">
      <c r="Q84" s="101">
        <v>389</v>
      </c>
      <c r="R84" s="183" t="s">
        <v>59</v>
      </c>
    </row>
    <row r="85" spans="17:18" ht="12.75" x14ac:dyDescent="0.2">
      <c r="Q85" s="101">
        <v>391</v>
      </c>
      <c r="R85" s="183" t="s">
        <v>59</v>
      </c>
    </row>
    <row r="86" spans="17:18" ht="12.75" x14ac:dyDescent="0.2">
      <c r="Q86" s="101">
        <v>396</v>
      </c>
      <c r="R86" s="183" t="s">
        <v>58</v>
      </c>
    </row>
    <row r="87" spans="17:18" ht="12.75" x14ac:dyDescent="0.2">
      <c r="Q87" s="101">
        <v>407</v>
      </c>
      <c r="R87" s="183" t="s">
        <v>59</v>
      </c>
    </row>
    <row r="88" spans="17:18" ht="12.75" x14ac:dyDescent="0.2">
      <c r="Q88" s="101">
        <v>410</v>
      </c>
      <c r="R88" s="183" t="s">
        <v>59</v>
      </c>
    </row>
    <row r="89" spans="17:18" ht="12.75" x14ac:dyDescent="0.2">
      <c r="Q89" s="101">
        <v>414</v>
      </c>
      <c r="R89" s="183" t="s">
        <v>58</v>
      </c>
    </row>
    <row r="90" spans="17:18" ht="12.75" x14ac:dyDescent="0.2">
      <c r="Q90" s="101">
        <v>421</v>
      </c>
      <c r="R90" s="183" t="s">
        <v>59</v>
      </c>
    </row>
    <row r="91" spans="17:18" ht="12.75" x14ac:dyDescent="0.2">
      <c r="Q91" s="101">
        <v>422</v>
      </c>
      <c r="R91" s="183" t="s">
        <v>59</v>
      </c>
    </row>
    <row r="92" spans="17:18" ht="12.75" x14ac:dyDescent="0.2">
      <c r="Q92" s="101">
        <v>424</v>
      </c>
      <c r="R92" s="183" t="s">
        <v>59</v>
      </c>
    </row>
    <row r="93" spans="17:18" ht="12.75" x14ac:dyDescent="0.2">
      <c r="Q93" s="101">
        <v>425</v>
      </c>
      <c r="R93" s="183" t="s">
        <v>59</v>
      </c>
    </row>
    <row r="94" spans="17:18" ht="12.75" x14ac:dyDescent="0.2">
      <c r="Q94" s="101">
        <v>426</v>
      </c>
      <c r="R94" s="183" t="s">
        <v>58</v>
      </c>
    </row>
    <row r="95" spans="17:18" ht="12.75" x14ac:dyDescent="0.2">
      <c r="Q95" s="101">
        <v>427</v>
      </c>
      <c r="R95" s="183" t="s">
        <v>59</v>
      </c>
    </row>
    <row r="96" spans="17:18" ht="12.75" x14ac:dyDescent="0.2">
      <c r="Q96" s="101">
        <v>435</v>
      </c>
      <c r="R96" s="183" t="s">
        <v>59</v>
      </c>
    </row>
    <row r="97" spans="17:18" ht="12.75" x14ac:dyDescent="0.2">
      <c r="Q97" s="101">
        <v>437</v>
      </c>
      <c r="R97" s="183" t="s">
        <v>59</v>
      </c>
    </row>
    <row r="98" spans="17:18" ht="12.75" x14ac:dyDescent="0.2">
      <c r="Q98" s="101">
        <v>439</v>
      </c>
      <c r="R98" s="183" t="s">
        <v>59</v>
      </c>
    </row>
    <row r="99" spans="17:18" ht="12.75" x14ac:dyDescent="0.2">
      <c r="Q99" s="101">
        <v>440</v>
      </c>
      <c r="R99" s="183" t="s">
        <v>59</v>
      </c>
    </row>
    <row r="100" spans="17:18" ht="12.75" x14ac:dyDescent="0.2">
      <c r="Q100" s="101">
        <v>443</v>
      </c>
      <c r="R100" s="183" t="s">
        <v>59</v>
      </c>
    </row>
    <row r="101" spans="17:18" ht="12.75" x14ac:dyDescent="0.2">
      <c r="Q101" s="101">
        <v>445</v>
      </c>
      <c r="R101" s="183" t="s">
        <v>59</v>
      </c>
    </row>
    <row r="102" spans="17:18" ht="12.75" x14ac:dyDescent="0.2">
      <c r="Q102" s="101">
        <v>446</v>
      </c>
      <c r="R102" s="183" t="s">
        <v>59</v>
      </c>
    </row>
    <row r="103" spans="17:18" ht="12.75" x14ac:dyDescent="0.2">
      <c r="Q103" s="101">
        <v>447</v>
      </c>
      <c r="R103" s="183" t="s">
        <v>59</v>
      </c>
    </row>
    <row r="104" spans="17:18" ht="12.75" x14ac:dyDescent="0.2">
      <c r="Q104" s="101">
        <v>451</v>
      </c>
      <c r="R104" s="183" t="s">
        <v>59</v>
      </c>
    </row>
    <row r="105" spans="17:18" ht="12.75" x14ac:dyDescent="0.2">
      <c r="Q105" s="101">
        <v>455</v>
      </c>
      <c r="R105" s="183" t="s">
        <v>59</v>
      </c>
    </row>
    <row r="106" spans="17:18" ht="12.75" x14ac:dyDescent="0.2">
      <c r="Q106" s="101">
        <v>456</v>
      </c>
      <c r="R106" s="183" t="s">
        <v>58</v>
      </c>
    </row>
    <row r="107" spans="17:18" ht="12.75" x14ac:dyDescent="0.2">
      <c r="Q107" s="101">
        <v>458</v>
      </c>
      <c r="R107" s="183" t="s">
        <v>58</v>
      </c>
    </row>
    <row r="108" spans="17:18" ht="12.75" x14ac:dyDescent="0.2">
      <c r="Q108" s="101">
        <v>460</v>
      </c>
      <c r="R108" s="183" t="s">
        <v>58</v>
      </c>
    </row>
    <row r="109" spans="17:18" ht="12.75" x14ac:dyDescent="0.2">
      <c r="Q109" s="101">
        <v>461</v>
      </c>
      <c r="R109" s="183" t="s">
        <v>58</v>
      </c>
    </row>
    <row r="110" spans="17:18" ht="12.75" x14ac:dyDescent="0.2">
      <c r="Q110" s="101">
        <v>464</v>
      </c>
      <c r="R110" s="183" t="s">
        <v>59</v>
      </c>
    </row>
    <row r="111" spans="17:18" ht="12.75" x14ac:dyDescent="0.2">
      <c r="Q111" s="101">
        <v>466</v>
      </c>
      <c r="R111" s="183" t="s">
        <v>58</v>
      </c>
    </row>
    <row r="112" spans="17:18" ht="12.75" x14ac:dyDescent="0.2">
      <c r="Q112" s="101">
        <v>467</v>
      </c>
      <c r="R112" s="183" t="s">
        <v>59</v>
      </c>
    </row>
    <row r="113" spans="17:18" ht="12.75" x14ac:dyDescent="0.2">
      <c r="Q113" s="101">
        <v>469</v>
      </c>
      <c r="R113" s="183" t="s">
        <v>59</v>
      </c>
    </row>
    <row r="114" spans="17:18" ht="12.75" x14ac:dyDescent="0.2">
      <c r="Q114" s="101">
        <v>471</v>
      </c>
      <c r="R114" s="183" t="s">
        <v>59</v>
      </c>
    </row>
    <row r="115" spans="17:18" ht="12.75" x14ac:dyDescent="0.2">
      <c r="Q115" s="101">
        <v>472</v>
      </c>
      <c r="R115" s="183" t="s">
        <v>59</v>
      </c>
    </row>
    <row r="116" spans="17:18" ht="12.75" x14ac:dyDescent="0.2">
      <c r="Q116" s="101">
        <v>476</v>
      </c>
      <c r="R116" s="183" t="s">
        <v>59</v>
      </c>
    </row>
    <row r="117" spans="17:18" ht="12.75" x14ac:dyDescent="0.2">
      <c r="Q117" s="101">
        <v>477</v>
      </c>
      <c r="R117" s="183" t="s">
        <v>59</v>
      </c>
    </row>
    <row r="118" spans="17:18" ht="12.75" x14ac:dyDescent="0.2">
      <c r="Q118" s="101">
        <v>479</v>
      </c>
      <c r="R118" s="183" t="s">
        <v>58</v>
      </c>
    </row>
    <row r="119" spans="17:18" ht="12.75" x14ac:dyDescent="0.2">
      <c r="Q119" s="101">
        <v>480</v>
      </c>
      <c r="R119" s="183" t="s">
        <v>59</v>
      </c>
    </row>
    <row r="120" spans="17:18" ht="12.75" x14ac:dyDescent="0.2">
      <c r="Q120" s="101">
        <v>482</v>
      </c>
      <c r="R120" s="183" t="s">
        <v>59</v>
      </c>
    </row>
    <row r="121" spans="17:18" ht="12.75" x14ac:dyDescent="0.2">
      <c r="Q121" s="101">
        <v>483</v>
      </c>
      <c r="R121" s="183" t="s">
        <v>59</v>
      </c>
    </row>
    <row r="122" spans="17:18" ht="12.75" x14ac:dyDescent="0.2">
      <c r="Q122" s="101">
        <v>484</v>
      </c>
      <c r="R122" s="183" t="s">
        <v>59</v>
      </c>
    </row>
    <row r="123" spans="17:18" ht="12.75" x14ac:dyDescent="0.2">
      <c r="Q123" s="101">
        <v>489</v>
      </c>
      <c r="R123" s="183" t="s">
        <v>58</v>
      </c>
    </row>
    <row r="124" spans="17:18" ht="12.75" x14ac:dyDescent="0.2">
      <c r="Q124" s="101">
        <v>501</v>
      </c>
      <c r="R124" s="183" t="s">
        <v>58</v>
      </c>
    </row>
    <row r="125" spans="17:18" ht="12.75" x14ac:dyDescent="0.2">
      <c r="Q125" s="101">
        <v>502</v>
      </c>
      <c r="R125" s="183" t="s">
        <v>59</v>
      </c>
    </row>
    <row r="126" spans="17:18" ht="12.75" x14ac:dyDescent="0.2">
      <c r="Q126" s="101">
        <v>503</v>
      </c>
      <c r="R126" s="183" t="s">
        <v>59</v>
      </c>
    </row>
    <row r="127" spans="17:18" ht="12.75" x14ac:dyDescent="0.2">
      <c r="Q127" s="101">
        <v>504</v>
      </c>
      <c r="R127" s="183" t="s">
        <v>59</v>
      </c>
    </row>
    <row r="128" spans="17:18" ht="12.75" x14ac:dyDescent="0.2">
      <c r="Q128" s="101">
        <v>505</v>
      </c>
      <c r="R128" s="183" t="s">
        <v>58</v>
      </c>
    </row>
    <row r="129" spans="17:18" ht="12.75" x14ac:dyDescent="0.2">
      <c r="Q129" s="101">
        <v>506</v>
      </c>
      <c r="R129" s="183" t="s">
        <v>58</v>
      </c>
    </row>
    <row r="130" spans="17:18" ht="12.75" x14ac:dyDescent="0.2">
      <c r="Q130" s="101">
        <v>507</v>
      </c>
      <c r="R130" s="183" t="s">
        <v>59</v>
      </c>
    </row>
    <row r="131" spans="17:18" ht="12.75" x14ac:dyDescent="0.2">
      <c r="Q131" s="101">
        <v>508</v>
      </c>
      <c r="R131" s="183" t="s">
        <v>59</v>
      </c>
    </row>
    <row r="132" spans="17:18" ht="12.75" x14ac:dyDescent="0.2">
      <c r="Q132" s="101">
        <v>509</v>
      </c>
      <c r="R132" s="183" t="s">
        <v>58</v>
      </c>
    </row>
    <row r="133" spans="17:18" ht="12.75" x14ac:dyDescent="0.2">
      <c r="Q133" s="101">
        <v>518</v>
      </c>
      <c r="R133" s="183" t="s">
        <v>59</v>
      </c>
    </row>
    <row r="134" spans="17:18" ht="12.75" x14ac:dyDescent="0.2">
      <c r="Q134" s="101">
        <v>526</v>
      </c>
      <c r="R134" s="183" t="s">
        <v>59</v>
      </c>
    </row>
    <row r="135" spans="17:18" ht="12.75" x14ac:dyDescent="0.2">
      <c r="Q135" s="101">
        <v>533</v>
      </c>
      <c r="R135" s="183" t="s">
        <v>59</v>
      </c>
    </row>
    <row r="136" spans="17:18" ht="12.75" x14ac:dyDescent="0.2">
      <c r="Q136" s="101">
        <v>536</v>
      </c>
      <c r="R136" s="183" t="s">
        <v>58</v>
      </c>
    </row>
    <row r="137" spans="17:18" ht="12.75" x14ac:dyDescent="0.2">
      <c r="Q137" s="101">
        <v>550</v>
      </c>
      <c r="R137" s="183" t="s">
        <v>59</v>
      </c>
    </row>
    <row r="138" spans="17:18" ht="12.75" x14ac:dyDescent="0.2">
      <c r="Q138" s="101">
        <v>551</v>
      </c>
      <c r="R138" s="183" t="s">
        <v>59</v>
      </c>
    </row>
    <row r="139" spans="17:18" ht="12.75" x14ac:dyDescent="0.2">
      <c r="Q139" s="101">
        <v>555</v>
      </c>
      <c r="R139" s="183" t="s">
        <v>59</v>
      </c>
    </row>
    <row r="140" spans="17:18" ht="12.75" x14ac:dyDescent="0.2">
      <c r="Q140" s="101">
        <v>562</v>
      </c>
      <c r="R140" s="183" t="s">
        <v>59</v>
      </c>
    </row>
    <row r="141" spans="17:18" ht="12.75" x14ac:dyDescent="0.2">
      <c r="Q141" s="101">
        <v>569</v>
      </c>
      <c r="R141" s="183" t="s">
        <v>59</v>
      </c>
    </row>
    <row r="142" spans="17:18" ht="12.75" x14ac:dyDescent="0.2">
      <c r="Q142" s="101">
        <v>581</v>
      </c>
      <c r="R142" s="183" t="s">
        <v>59</v>
      </c>
    </row>
    <row r="143" spans="17:18" ht="12.75" x14ac:dyDescent="0.2">
      <c r="Q143" s="101">
        <v>594</v>
      </c>
      <c r="R143" s="183" t="s">
        <v>59</v>
      </c>
    </row>
    <row r="144" spans="17:18" ht="12.75" x14ac:dyDescent="0.2">
      <c r="Q144" s="101">
        <v>595</v>
      </c>
      <c r="R144" s="183" t="s">
        <v>59</v>
      </c>
    </row>
    <row r="145" spans="17:18" ht="12.75" x14ac:dyDescent="0.2">
      <c r="Q145" s="101">
        <v>612</v>
      </c>
      <c r="R145" s="183" t="s">
        <v>59</v>
      </c>
    </row>
    <row r="146" spans="17:18" ht="12.75" x14ac:dyDescent="0.2">
      <c r="Q146" s="101">
        <v>621</v>
      </c>
      <c r="R146" s="183" t="s">
        <v>59</v>
      </c>
    </row>
    <row r="147" spans="17:18" ht="12.75" x14ac:dyDescent="0.2">
      <c r="Q147" s="101">
        <v>659</v>
      </c>
      <c r="R147" s="183" t="s">
        <v>59</v>
      </c>
    </row>
    <row r="148" spans="17:18" ht="12.75" x14ac:dyDescent="0.2">
      <c r="Q148" s="101">
        <v>672</v>
      </c>
      <c r="R148" s="183" t="s">
        <v>59</v>
      </c>
    </row>
    <row r="149" spans="17:18" ht="12.75" x14ac:dyDescent="0.2">
      <c r="Q149" s="101">
        <v>674</v>
      </c>
      <c r="R149" s="183" t="s">
        <v>59</v>
      </c>
    </row>
    <row r="150" spans="17:18" ht="12.75" x14ac:dyDescent="0.2">
      <c r="Q150" s="101">
        <v>676</v>
      </c>
      <c r="R150" s="183" t="s">
        <v>58</v>
      </c>
    </row>
    <row r="151" spans="17:18" ht="12.75" x14ac:dyDescent="0.2">
      <c r="Q151" s="101">
        <v>677</v>
      </c>
      <c r="R151" s="183" t="s">
        <v>58</v>
      </c>
    </row>
    <row r="152" spans="17:18" ht="12.75" x14ac:dyDescent="0.2">
      <c r="Q152" s="101">
        <v>681</v>
      </c>
      <c r="R152" s="183" t="s">
        <v>59</v>
      </c>
    </row>
    <row r="153" spans="17:18" ht="12.75" x14ac:dyDescent="0.2">
      <c r="Q153" s="101">
        <v>687</v>
      </c>
      <c r="R153" s="183" t="s">
        <v>59</v>
      </c>
    </row>
    <row r="154" spans="17:18" ht="12.75" x14ac:dyDescent="0.2">
      <c r="Q154" s="101">
        <v>690</v>
      </c>
      <c r="R154" s="183" t="s">
        <v>59</v>
      </c>
    </row>
    <row r="155" spans="17:18" ht="12.75" x14ac:dyDescent="0.2">
      <c r="Q155" s="101">
        <v>691</v>
      </c>
      <c r="R155" s="183" t="s">
        <v>59</v>
      </c>
    </row>
    <row r="156" spans="17:18" ht="12.75" x14ac:dyDescent="0.2">
      <c r="Q156" s="101">
        <v>703</v>
      </c>
      <c r="R156" s="183" t="s">
        <v>59</v>
      </c>
    </row>
    <row r="157" spans="17:18" ht="12.75" x14ac:dyDescent="0.2">
      <c r="Q157" s="101">
        <v>710</v>
      </c>
      <c r="R157" s="183" t="s">
        <v>59</v>
      </c>
    </row>
    <row r="158" spans="17:18" ht="12.75" x14ac:dyDescent="0.2">
      <c r="Q158" s="101">
        <v>714</v>
      </c>
      <c r="R158" s="183" t="s">
        <v>59</v>
      </c>
    </row>
    <row r="159" spans="17:18" ht="12.75" x14ac:dyDescent="0.2">
      <c r="Q159" s="101">
        <v>717</v>
      </c>
      <c r="R159" s="183" t="s">
        <v>59</v>
      </c>
    </row>
    <row r="160" spans="17:18" ht="12.75" x14ac:dyDescent="0.2">
      <c r="Q160" s="101">
        <v>719</v>
      </c>
      <c r="R160" s="183" t="s">
        <v>59</v>
      </c>
    </row>
    <row r="161" spans="17:19" ht="12.75" x14ac:dyDescent="0.2">
      <c r="Q161" s="101">
        <v>731</v>
      </c>
      <c r="R161" s="183" t="s">
        <v>59</v>
      </c>
    </row>
    <row r="162" spans="17:19" ht="12.75" x14ac:dyDescent="0.2">
      <c r="Q162" s="101">
        <v>739</v>
      </c>
      <c r="R162" s="183" t="s">
        <v>59</v>
      </c>
    </row>
    <row r="163" spans="17:19" ht="12.75" x14ac:dyDescent="0.2">
      <c r="Q163" s="101">
        <v>745</v>
      </c>
      <c r="R163" s="183" t="s">
        <v>59</v>
      </c>
    </row>
    <row r="164" spans="17:19" ht="12.75" x14ac:dyDescent="0.2">
      <c r="Q164" s="101">
        <v>750</v>
      </c>
      <c r="R164" s="183" t="s">
        <v>59</v>
      </c>
    </row>
    <row r="165" spans="17:19" ht="12.75" x14ac:dyDescent="0.2">
      <c r="Q165" s="101">
        <v>757</v>
      </c>
      <c r="R165" s="183" t="s">
        <v>59</v>
      </c>
    </row>
    <row r="166" spans="17:19" ht="12.75" x14ac:dyDescent="0.2">
      <c r="Q166" s="101">
        <v>763</v>
      </c>
      <c r="R166" s="183" t="s">
        <v>59</v>
      </c>
    </row>
    <row r="167" spans="17:19" ht="12.75" x14ac:dyDescent="0.2">
      <c r="Q167" s="101">
        <v>769</v>
      </c>
      <c r="R167" s="183" t="s">
        <v>58</v>
      </c>
    </row>
    <row r="168" spans="17:19" ht="12.75" x14ac:dyDescent="0.2">
      <c r="Q168" s="101">
        <v>772</v>
      </c>
      <c r="R168" s="183" t="s">
        <v>59</v>
      </c>
    </row>
    <row r="169" spans="17:19" ht="12.75" x14ac:dyDescent="0.2">
      <c r="Q169" s="101">
        <v>774</v>
      </c>
      <c r="R169" s="183" t="s">
        <v>58</v>
      </c>
    </row>
    <row r="170" spans="17:19" ht="12.75" x14ac:dyDescent="0.2">
      <c r="Q170" s="101">
        <v>778</v>
      </c>
      <c r="R170" s="183" t="s">
        <v>58</v>
      </c>
    </row>
    <row r="171" spans="17:19" ht="12.75" x14ac:dyDescent="0.2">
      <c r="Q171" s="101">
        <v>784</v>
      </c>
      <c r="R171" s="183" t="s">
        <v>59</v>
      </c>
    </row>
    <row r="172" spans="17:19" ht="12.75" x14ac:dyDescent="0.2">
      <c r="Q172" s="12" t="s">
        <v>58</v>
      </c>
      <c r="R172" s="180"/>
      <c r="S172" s="1" t="s">
        <v>59</v>
      </c>
    </row>
    <row r="173" spans="17:19" ht="12.75" x14ac:dyDescent="0.2">
      <c r="Q173" s="12" t="s">
        <v>59</v>
      </c>
      <c r="R173" s="180"/>
    </row>
    <row r="174" spans="17:19" ht="12.75" x14ac:dyDescent="0.2">
      <c r="R174" s="180"/>
    </row>
    <row r="175" spans="17:19" ht="12.75" x14ac:dyDescent="0.2">
      <c r="R175" s="180"/>
    </row>
    <row r="176" spans="17:19" ht="12.75" x14ac:dyDescent="0.2">
      <c r="R176" s="180"/>
    </row>
    <row r="177" spans="18:18" ht="12.75" x14ac:dyDescent="0.2">
      <c r="R177" s="180"/>
    </row>
    <row r="178" spans="18:18" ht="12.75" x14ac:dyDescent="0.2">
      <c r="R178" s="180"/>
    </row>
  </sheetData>
  <mergeCells count="43">
    <mergeCell ref="E40:H40"/>
    <mergeCell ref="F39:H39"/>
    <mergeCell ref="J6:K6"/>
    <mergeCell ref="D12:F12"/>
    <mergeCell ref="G12:I12"/>
    <mergeCell ref="J12:K12"/>
    <mergeCell ref="F6:G6"/>
    <mergeCell ref="H6:I6"/>
    <mergeCell ref="J14:K14"/>
    <mergeCell ref="J31:K31"/>
    <mergeCell ref="F19:F23"/>
    <mergeCell ref="J18:K18"/>
    <mergeCell ref="J16:K16"/>
    <mergeCell ref="J20:K20"/>
    <mergeCell ref="G14:I14"/>
    <mergeCell ref="D14:F14"/>
    <mergeCell ref="M1:N1"/>
    <mergeCell ref="E1:G1"/>
    <mergeCell ref="J4:K4"/>
    <mergeCell ref="D6:E6"/>
    <mergeCell ref="D2:G2"/>
    <mergeCell ref="D4:E4"/>
    <mergeCell ref="F4:G4"/>
    <mergeCell ref="H4:I4"/>
    <mergeCell ref="B28:B32"/>
    <mergeCell ref="D28:D32"/>
    <mergeCell ref="J25:K25"/>
    <mergeCell ref="J27:K27"/>
    <mergeCell ref="F28:F32"/>
    <mergeCell ref="J28:K28"/>
    <mergeCell ref="J29:K29"/>
    <mergeCell ref="J32:K32"/>
    <mergeCell ref="J30:K30"/>
    <mergeCell ref="B19:B23"/>
    <mergeCell ref="D19:D23"/>
    <mergeCell ref="A8:B8"/>
    <mergeCell ref="A10:B10"/>
    <mergeCell ref="J21:K21"/>
    <mergeCell ref="J23:K23"/>
    <mergeCell ref="J22:K22"/>
    <mergeCell ref="J19:K19"/>
    <mergeCell ref="D8:E8"/>
    <mergeCell ref="D10:E10"/>
  </mergeCells>
  <phoneticPr fontId="0" type="noConversion"/>
  <conditionalFormatting sqref="H18:H24 H27:H32">
    <cfRule type="cellIs" dxfId="87" priority="1" stopIfTrue="1" operator="lessThanOrEqual">
      <formula>0</formula>
    </cfRule>
    <cfRule type="cellIs" dxfId="86" priority="2" stopIfTrue="1" operator="greaterThan">
      <formula>0</formula>
    </cfRule>
  </conditionalFormatting>
  <dataValidations count="3">
    <dataValidation type="list" allowBlank="1" showInputMessage="1" showErrorMessage="1" sqref="O1">
      <formula1>$Q$172:$Q$173</formula1>
    </dataValidation>
    <dataValidation type="list" allowBlank="1" showInputMessage="1" showErrorMessage="1" sqref="N3">
      <formula1>$Q$2:$Q$14</formula1>
    </dataValidation>
    <dataValidation type="list" allowBlank="1" showInputMessage="1" showErrorMessage="1" sqref="D1">
      <formula1>$Q$18:$Q$171</formula1>
    </dataValidation>
  </dataValidations>
  <printOptions horizontalCentered="1" verticalCentered="1"/>
  <pageMargins left="0.15748031496062992" right="0" top="0.94488188976377963" bottom="0" header="0.51181102362204722" footer="0"/>
  <pageSetup paperSize="9" orientation="landscape" horizontalDpi="1200" verticalDpi="1200" r:id="rId1"/>
  <headerFooter alignWithMargins="0">
    <oddHeader>&amp;L&amp;"Verdana,Gras"&amp;16Tableau de bord après-vente&amp;R&amp;G</oddHeader>
    <oddFooter>&amp;C&amp;"Arial,Fett"&amp;7&amp;D</oddFooter>
  </headerFooter>
  <rowBreaks count="1" manualBreakCount="1">
    <brk id="34" max="11" man="1"/>
  </rowBreaks>
  <ignoredErrors>
    <ignoredError sqref="H28" formula="1"/>
  </ignoredErrors>
  <legacyDrawingHF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U33"/>
  <sheetViews>
    <sheetView topLeftCell="A21" zoomScale="90" zoomScaleNormal="90" workbookViewId="0">
      <selection activeCell="F26" sqref="F26"/>
    </sheetView>
  </sheetViews>
  <sheetFormatPr baseColWidth="10" defaultRowHeight="11.25" x14ac:dyDescent="0.2"/>
  <cols>
    <col min="1" max="1" width="18.42578125" style="118" customWidth="1"/>
    <col min="2" max="2" width="10.85546875" style="118" customWidth="1"/>
    <col min="3" max="3" width="0.5703125" style="120" customWidth="1"/>
    <col min="4" max="4" width="13.28515625" style="118" customWidth="1"/>
    <col min="5" max="5" width="17.28515625" style="118" bestFit="1" customWidth="1"/>
    <col min="6" max="6" width="18.28515625" style="118" customWidth="1"/>
    <col min="7" max="7" width="13.28515625" style="118" customWidth="1"/>
    <col min="8" max="8" width="16.28515625" style="118" bestFit="1" customWidth="1"/>
    <col min="9" max="9" width="14" style="118" customWidth="1"/>
    <col min="10" max="10" width="13.28515625" style="118" customWidth="1"/>
    <col min="11" max="11" width="11.85546875" style="118" customWidth="1"/>
    <col min="12" max="12" width="13.28515625" style="156" customWidth="1"/>
    <col min="13" max="13" width="9" style="12" bestFit="1" customWidth="1"/>
    <col min="14" max="14" width="9.5703125" style="12" customWidth="1"/>
    <col min="15" max="15" width="8.28515625" style="12" customWidth="1"/>
    <col min="16" max="16" width="11.85546875" style="118" hidden="1" customWidth="1"/>
    <col min="17" max="17" width="4.42578125" style="118" bestFit="1" customWidth="1"/>
    <col min="18" max="19" width="4.7109375" style="118" customWidth="1"/>
    <col min="20" max="20" width="10.5703125" style="118" bestFit="1" customWidth="1"/>
    <col min="21" max="21" width="4.28515625" style="118" customWidth="1"/>
    <col min="22" max="257" width="11.42578125" style="118"/>
    <col min="258" max="258" width="18.42578125" style="118" customWidth="1"/>
    <col min="259" max="259" width="10.85546875" style="118" customWidth="1"/>
    <col min="260" max="260" width="0.5703125" style="118" customWidth="1"/>
    <col min="261" max="265" width="13.28515625" style="118" customWidth="1"/>
    <col min="266" max="266" width="14" style="118" customWidth="1"/>
    <col min="267" max="268" width="13.28515625" style="118" customWidth="1"/>
    <col min="269" max="269" width="9" style="118" bestFit="1" customWidth="1"/>
    <col min="270" max="270" width="9.5703125" style="118" customWidth="1"/>
    <col min="271" max="271" width="8.28515625" style="118" customWidth="1"/>
    <col min="272" max="272" width="0" style="118" hidden="1" customWidth="1"/>
    <col min="273" max="273" width="4.42578125" style="118" bestFit="1" customWidth="1"/>
    <col min="274" max="275" width="4.7109375" style="118" customWidth="1"/>
    <col min="276" max="276" width="10.5703125" style="118" bestFit="1" customWidth="1"/>
    <col min="277" max="277" width="4.28515625" style="118" customWidth="1"/>
    <col min="278" max="513" width="11.42578125" style="118"/>
    <col min="514" max="514" width="18.42578125" style="118" customWidth="1"/>
    <col min="515" max="515" width="10.85546875" style="118" customWidth="1"/>
    <col min="516" max="516" width="0.5703125" style="118" customWidth="1"/>
    <col min="517" max="521" width="13.28515625" style="118" customWidth="1"/>
    <col min="522" max="522" width="14" style="118" customWidth="1"/>
    <col min="523" max="524" width="13.28515625" style="118" customWidth="1"/>
    <col min="525" max="525" width="9" style="118" bestFit="1" customWidth="1"/>
    <col min="526" max="526" width="9.5703125" style="118" customWidth="1"/>
    <col min="527" max="527" width="8.28515625" style="118" customWidth="1"/>
    <col min="528" max="528" width="0" style="118" hidden="1" customWidth="1"/>
    <col min="529" max="529" width="4.42578125" style="118" bestFit="1" customWidth="1"/>
    <col min="530" max="531" width="4.7109375" style="118" customWidth="1"/>
    <col min="532" max="532" width="10.5703125" style="118" bestFit="1" customWidth="1"/>
    <col min="533" max="533" width="4.28515625" style="118" customWidth="1"/>
    <col min="534" max="769" width="11.42578125" style="118"/>
    <col min="770" max="770" width="18.42578125" style="118" customWidth="1"/>
    <col min="771" max="771" width="10.85546875" style="118" customWidth="1"/>
    <col min="772" max="772" width="0.5703125" style="118" customWidth="1"/>
    <col min="773" max="777" width="13.28515625" style="118" customWidth="1"/>
    <col min="778" max="778" width="14" style="118" customWidth="1"/>
    <col min="779" max="780" width="13.28515625" style="118" customWidth="1"/>
    <col min="781" max="781" width="9" style="118" bestFit="1" customWidth="1"/>
    <col min="782" max="782" width="9.5703125" style="118" customWidth="1"/>
    <col min="783" max="783" width="8.28515625" style="118" customWidth="1"/>
    <col min="784" max="784" width="0" style="118" hidden="1" customWidth="1"/>
    <col min="785" max="785" width="4.42578125" style="118" bestFit="1" customWidth="1"/>
    <col min="786" max="787" width="4.7109375" style="118" customWidth="1"/>
    <col min="788" max="788" width="10.5703125" style="118" bestFit="1" customWidth="1"/>
    <col min="789" max="789" width="4.28515625" style="118" customWidth="1"/>
    <col min="790" max="1025" width="11.42578125" style="118"/>
    <col min="1026" max="1026" width="18.42578125" style="118" customWidth="1"/>
    <col min="1027" max="1027" width="10.85546875" style="118" customWidth="1"/>
    <col min="1028" max="1028" width="0.5703125" style="118" customWidth="1"/>
    <col min="1029" max="1033" width="13.28515625" style="118" customWidth="1"/>
    <col min="1034" max="1034" width="14" style="118" customWidth="1"/>
    <col min="1035" max="1036" width="13.28515625" style="118" customWidth="1"/>
    <col min="1037" max="1037" width="9" style="118" bestFit="1" customWidth="1"/>
    <col min="1038" max="1038" width="9.5703125" style="118" customWidth="1"/>
    <col min="1039" max="1039" width="8.28515625" style="118" customWidth="1"/>
    <col min="1040" max="1040" width="0" style="118" hidden="1" customWidth="1"/>
    <col min="1041" max="1041" width="4.42578125" style="118" bestFit="1" customWidth="1"/>
    <col min="1042" max="1043" width="4.7109375" style="118" customWidth="1"/>
    <col min="1044" max="1044" width="10.5703125" style="118" bestFit="1" customWidth="1"/>
    <col min="1045" max="1045" width="4.28515625" style="118" customWidth="1"/>
    <col min="1046" max="1281" width="11.42578125" style="118"/>
    <col min="1282" max="1282" width="18.42578125" style="118" customWidth="1"/>
    <col min="1283" max="1283" width="10.85546875" style="118" customWidth="1"/>
    <col min="1284" max="1284" width="0.5703125" style="118" customWidth="1"/>
    <col min="1285" max="1289" width="13.28515625" style="118" customWidth="1"/>
    <col min="1290" max="1290" width="14" style="118" customWidth="1"/>
    <col min="1291" max="1292" width="13.28515625" style="118" customWidth="1"/>
    <col min="1293" max="1293" width="9" style="118" bestFit="1" customWidth="1"/>
    <col min="1294" max="1294" width="9.5703125" style="118" customWidth="1"/>
    <col min="1295" max="1295" width="8.28515625" style="118" customWidth="1"/>
    <col min="1296" max="1296" width="0" style="118" hidden="1" customWidth="1"/>
    <col min="1297" max="1297" width="4.42578125" style="118" bestFit="1" customWidth="1"/>
    <col min="1298" max="1299" width="4.7109375" style="118" customWidth="1"/>
    <col min="1300" max="1300" width="10.5703125" style="118" bestFit="1" customWidth="1"/>
    <col min="1301" max="1301" width="4.28515625" style="118" customWidth="1"/>
    <col min="1302" max="1537" width="11.42578125" style="118"/>
    <col min="1538" max="1538" width="18.42578125" style="118" customWidth="1"/>
    <col min="1539" max="1539" width="10.85546875" style="118" customWidth="1"/>
    <col min="1540" max="1540" width="0.5703125" style="118" customWidth="1"/>
    <col min="1541" max="1545" width="13.28515625" style="118" customWidth="1"/>
    <col min="1546" max="1546" width="14" style="118" customWidth="1"/>
    <col min="1547" max="1548" width="13.28515625" style="118" customWidth="1"/>
    <col min="1549" max="1549" width="9" style="118" bestFit="1" customWidth="1"/>
    <col min="1550" max="1550" width="9.5703125" style="118" customWidth="1"/>
    <col min="1551" max="1551" width="8.28515625" style="118" customWidth="1"/>
    <col min="1552" max="1552" width="0" style="118" hidden="1" customWidth="1"/>
    <col min="1553" max="1553" width="4.42578125" style="118" bestFit="1" customWidth="1"/>
    <col min="1554" max="1555" width="4.7109375" style="118" customWidth="1"/>
    <col min="1556" max="1556" width="10.5703125" style="118" bestFit="1" customWidth="1"/>
    <col min="1557" max="1557" width="4.28515625" style="118" customWidth="1"/>
    <col min="1558" max="1793" width="11.42578125" style="118"/>
    <col min="1794" max="1794" width="18.42578125" style="118" customWidth="1"/>
    <col min="1795" max="1795" width="10.85546875" style="118" customWidth="1"/>
    <col min="1796" max="1796" width="0.5703125" style="118" customWidth="1"/>
    <col min="1797" max="1801" width="13.28515625" style="118" customWidth="1"/>
    <col min="1802" max="1802" width="14" style="118" customWidth="1"/>
    <col min="1803" max="1804" width="13.28515625" style="118" customWidth="1"/>
    <col min="1805" max="1805" width="9" style="118" bestFit="1" customWidth="1"/>
    <col min="1806" max="1806" width="9.5703125" style="118" customWidth="1"/>
    <col min="1807" max="1807" width="8.28515625" style="118" customWidth="1"/>
    <col min="1808" max="1808" width="0" style="118" hidden="1" customWidth="1"/>
    <col min="1809" max="1809" width="4.42578125" style="118" bestFit="1" customWidth="1"/>
    <col min="1810" max="1811" width="4.7109375" style="118" customWidth="1"/>
    <col min="1812" max="1812" width="10.5703125" style="118" bestFit="1" customWidth="1"/>
    <col min="1813" max="1813" width="4.28515625" style="118" customWidth="1"/>
    <col min="1814" max="2049" width="11.42578125" style="118"/>
    <col min="2050" max="2050" width="18.42578125" style="118" customWidth="1"/>
    <col min="2051" max="2051" width="10.85546875" style="118" customWidth="1"/>
    <col min="2052" max="2052" width="0.5703125" style="118" customWidth="1"/>
    <col min="2053" max="2057" width="13.28515625" style="118" customWidth="1"/>
    <col min="2058" max="2058" width="14" style="118" customWidth="1"/>
    <col min="2059" max="2060" width="13.28515625" style="118" customWidth="1"/>
    <col min="2061" max="2061" width="9" style="118" bestFit="1" customWidth="1"/>
    <col min="2062" max="2062" width="9.5703125" style="118" customWidth="1"/>
    <col min="2063" max="2063" width="8.28515625" style="118" customWidth="1"/>
    <col min="2064" max="2064" width="0" style="118" hidden="1" customWidth="1"/>
    <col min="2065" max="2065" width="4.42578125" style="118" bestFit="1" customWidth="1"/>
    <col min="2066" max="2067" width="4.7109375" style="118" customWidth="1"/>
    <col min="2068" max="2068" width="10.5703125" style="118" bestFit="1" customWidth="1"/>
    <col min="2069" max="2069" width="4.28515625" style="118" customWidth="1"/>
    <col min="2070" max="2305" width="11.42578125" style="118"/>
    <col min="2306" max="2306" width="18.42578125" style="118" customWidth="1"/>
    <col min="2307" max="2307" width="10.85546875" style="118" customWidth="1"/>
    <col min="2308" max="2308" width="0.5703125" style="118" customWidth="1"/>
    <col min="2309" max="2313" width="13.28515625" style="118" customWidth="1"/>
    <col min="2314" max="2314" width="14" style="118" customWidth="1"/>
    <col min="2315" max="2316" width="13.28515625" style="118" customWidth="1"/>
    <col min="2317" max="2317" width="9" style="118" bestFit="1" customWidth="1"/>
    <col min="2318" max="2318" width="9.5703125" style="118" customWidth="1"/>
    <col min="2319" max="2319" width="8.28515625" style="118" customWidth="1"/>
    <col min="2320" max="2320" width="0" style="118" hidden="1" customWidth="1"/>
    <col min="2321" max="2321" width="4.42578125" style="118" bestFit="1" customWidth="1"/>
    <col min="2322" max="2323" width="4.7109375" style="118" customWidth="1"/>
    <col min="2324" max="2324" width="10.5703125" style="118" bestFit="1" customWidth="1"/>
    <col min="2325" max="2325" width="4.28515625" style="118" customWidth="1"/>
    <col min="2326" max="2561" width="11.42578125" style="118"/>
    <col min="2562" max="2562" width="18.42578125" style="118" customWidth="1"/>
    <col min="2563" max="2563" width="10.85546875" style="118" customWidth="1"/>
    <col min="2564" max="2564" width="0.5703125" style="118" customWidth="1"/>
    <col min="2565" max="2569" width="13.28515625" style="118" customWidth="1"/>
    <col min="2570" max="2570" width="14" style="118" customWidth="1"/>
    <col min="2571" max="2572" width="13.28515625" style="118" customWidth="1"/>
    <col min="2573" max="2573" width="9" style="118" bestFit="1" customWidth="1"/>
    <col min="2574" max="2574" width="9.5703125" style="118" customWidth="1"/>
    <col min="2575" max="2575" width="8.28515625" style="118" customWidth="1"/>
    <col min="2576" max="2576" width="0" style="118" hidden="1" customWidth="1"/>
    <col min="2577" max="2577" width="4.42578125" style="118" bestFit="1" customWidth="1"/>
    <col min="2578" max="2579" width="4.7109375" style="118" customWidth="1"/>
    <col min="2580" max="2580" width="10.5703125" style="118" bestFit="1" customWidth="1"/>
    <col min="2581" max="2581" width="4.28515625" style="118" customWidth="1"/>
    <col min="2582" max="2817" width="11.42578125" style="118"/>
    <col min="2818" max="2818" width="18.42578125" style="118" customWidth="1"/>
    <col min="2819" max="2819" width="10.85546875" style="118" customWidth="1"/>
    <col min="2820" max="2820" width="0.5703125" style="118" customWidth="1"/>
    <col min="2821" max="2825" width="13.28515625" style="118" customWidth="1"/>
    <col min="2826" max="2826" width="14" style="118" customWidth="1"/>
    <col min="2827" max="2828" width="13.28515625" style="118" customWidth="1"/>
    <col min="2829" max="2829" width="9" style="118" bestFit="1" customWidth="1"/>
    <col min="2830" max="2830" width="9.5703125" style="118" customWidth="1"/>
    <col min="2831" max="2831" width="8.28515625" style="118" customWidth="1"/>
    <col min="2832" max="2832" width="0" style="118" hidden="1" customWidth="1"/>
    <col min="2833" max="2833" width="4.42578125" style="118" bestFit="1" customWidth="1"/>
    <col min="2834" max="2835" width="4.7109375" style="118" customWidth="1"/>
    <col min="2836" max="2836" width="10.5703125" style="118" bestFit="1" customWidth="1"/>
    <col min="2837" max="2837" width="4.28515625" style="118" customWidth="1"/>
    <col min="2838" max="3073" width="11.42578125" style="118"/>
    <col min="3074" max="3074" width="18.42578125" style="118" customWidth="1"/>
    <col min="3075" max="3075" width="10.85546875" style="118" customWidth="1"/>
    <col min="3076" max="3076" width="0.5703125" style="118" customWidth="1"/>
    <col min="3077" max="3081" width="13.28515625" style="118" customWidth="1"/>
    <col min="3082" max="3082" width="14" style="118" customWidth="1"/>
    <col min="3083" max="3084" width="13.28515625" style="118" customWidth="1"/>
    <col min="3085" max="3085" width="9" style="118" bestFit="1" customWidth="1"/>
    <col min="3086" max="3086" width="9.5703125" style="118" customWidth="1"/>
    <col min="3087" max="3087" width="8.28515625" style="118" customWidth="1"/>
    <col min="3088" max="3088" width="0" style="118" hidden="1" customWidth="1"/>
    <col min="3089" max="3089" width="4.42578125" style="118" bestFit="1" customWidth="1"/>
    <col min="3090" max="3091" width="4.7109375" style="118" customWidth="1"/>
    <col min="3092" max="3092" width="10.5703125" style="118" bestFit="1" customWidth="1"/>
    <col min="3093" max="3093" width="4.28515625" style="118" customWidth="1"/>
    <col min="3094" max="3329" width="11.42578125" style="118"/>
    <col min="3330" max="3330" width="18.42578125" style="118" customWidth="1"/>
    <col min="3331" max="3331" width="10.85546875" style="118" customWidth="1"/>
    <col min="3332" max="3332" width="0.5703125" style="118" customWidth="1"/>
    <col min="3333" max="3337" width="13.28515625" style="118" customWidth="1"/>
    <col min="3338" max="3338" width="14" style="118" customWidth="1"/>
    <col min="3339" max="3340" width="13.28515625" style="118" customWidth="1"/>
    <col min="3341" max="3341" width="9" style="118" bestFit="1" customWidth="1"/>
    <col min="3342" max="3342" width="9.5703125" style="118" customWidth="1"/>
    <col min="3343" max="3343" width="8.28515625" style="118" customWidth="1"/>
    <col min="3344" max="3344" width="0" style="118" hidden="1" customWidth="1"/>
    <col min="3345" max="3345" width="4.42578125" style="118" bestFit="1" customWidth="1"/>
    <col min="3346" max="3347" width="4.7109375" style="118" customWidth="1"/>
    <col min="3348" max="3348" width="10.5703125" style="118" bestFit="1" customWidth="1"/>
    <col min="3349" max="3349" width="4.28515625" style="118" customWidth="1"/>
    <col min="3350" max="3585" width="11.42578125" style="118"/>
    <col min="3586" max="3586" width="18.42578125" style="118" customWidth="1"/>
    <col min="3587" max="3587" width="10.85546875" style="118" customWidth="1"/>
    <col min="3588" max="3588" width="0.5703125" style="118" customWidth="1"/>
    <col min="3589" max="3593" width="13.28515625" style="118" customWidth="1"/>
    <col min="3594" max="3594" width="14" style="118" customWidth="1"/>
    <col min="3595" max="3596" width="13.28515625" style="118" customWidth="1"/>
    <col min="3597" max="3597" width="9" style="118" bestFit="1" customWidth="1"/>
    <col min="3598" max="3598" width="9.5703125" style="118" customWidth="1"/>
    <col min="3599" max="3599" width="8.28515625" style="118" customWidth="1"/>
    <col min="3600" max="3600" width="0" style="118" hidden="1" customWidth="1"/>
    <col min="3601" max="3601" width="4.42578125" style="118" bestFit="1" customWidth="1"/>
    <col min="3602" max="3603" width="4.7109375" style="118" customWidth="1"/>
    <col min="3604" max="3604" width="10.5703125" style="118" bestFit="1" customWidth="1"/>
    <col min="3605" max="3605" width="4.28515625" style="118" customWidth="1"/>
    <col min="3606" max="3841" width="11.42578125" style="118"/>
    <col min="3842" max="3842" width="18.42578125" style="118" customWidth="1"/>
    <col min="3843" max="3843" width="10.85546875" style="118" customWidth="1"/>
    <col min="3844" max="3844" width="0.5703125" style="118" customWidth="1"/>
    <col min="3845" max="3849" width="13.28515625" style="118" customWidth="1"/>
    <col min="3850" max="3850" width="14" style="118" customWidth="1"/>
    <col min="3851" max="3852" width="13.28515625" style="118" customWidth="1"/>
    <col min="3853" max="3853" width="9" style="118" bestFit="1" customWidth="1"/>
    <col min="3854" max="3854" width="9.5703125" style="118" customWidth="1"/>
    <col min="3855" max="3855" width="8.28515625" style="118" customWidth="1"/>
    <col min="3856" max="3856" width="0" style="118" hidden="1" customWidth="1"/>
    <col min="3857" max="3857" width="4.42578125" style="118" bestFit="1" customWidth="1"/>
    <col min="3858" max="3859" width="4.7109375" style="118" customWidth="1"/>
    <col min="3860" max="3860" width="10.5703125" style="118" bestFit="1" customWidth="1"/>
    <col min="3861" max="3861" width="4.28515625" style="118" customWidth="1"/>
    <col min="3862" max="4097" width="11.42578125" style="118"/>
    <col min="4098" max="4098" width="18.42578125" style="118" customWidth="1"/>
    <col min="4099" max="4099" width="10.85546875" style="118" customWidth="1"/>
    <col min="4100" max="4100" width="0.5703125" style="118" customWidth="1"/>
    <col min="4101" max="4105" width="13.28515625" style="118" customWidth="1"/>
    <col min="4106" max="4106" width="14" style="118" customWidth="1"/>
    <col min="4107" max="4108" width="13.28515625" style="118" customWidth="1"/>
    <col min="4109" max="4109" width="9" style="118" bestFit="1" customWidth="1"/>
    <col min="4110" max="4110" width="9.5703125" style="118" customWidth="1"/>
    <col min="4111" max="4111" width="8.28515625" style="118" customWidth="1"/>
    <col min="4112" max="4112" width="0" style="118" hidden="1" customWidth="1"/>
    <col min="4113" max="4113" width="4.42578125" style="118" bestFit="1" customWidth="1"/>
    <col min="4114" max="4115" width="4.7109375" style="118" customWidth="1"/>
    <col min="4116" max="4116" width="10.5703125" style="118" bestFit="1" customWidth="1"/>
    <col min="4117" max="4117" width="4.28515625" style="118" customWidth="1"/>
    <col min="4118" max="4353" width="11.42578125" style="118"/>
    <col min="4354" max="4354" width="18.42578125" style="118" customWidth="1"/>
    <col min="4355" max="4355" width="10.85546875" style="118" customWidth="1"/>
    <col min="4356" max="4356" width="0.5703125" style="118" customWidth="1"/>
    <col min="4357" max="4361" width="13.28515625" style="118" customWidth="1"/>
    <col min="4362" max="4362" width="14" style="118" customWidth="1"/>
    <col min="4363" max="4364" width="13.28515625" style="118" customWidth="1"/>
    <col min="4365" max="4365" width="9" style="118" bestFit="1" customWidth="1"/>
    <col min="4366" max="4366" width="9.5703125" style="118" customWidth="1"/>
    <col min="4367" max="4367" width="8.28515625" style="118" customWidth="1"/>
    <col min="4368" max="4368" width="0" style="118" hidden="1" customWidth="1"/>
    <col min="4369" max="4369" width="4.42578125" style="118" bestFit="1" customWidth="1"/>
    <col min="4370" max="4371" width="4.7109375" style="118" customWidth="1"/>
    <col min="4372" max="4372" width="10.5703125" style="118" bestFit="1" customWidth="1"/>
    <col min="4373" max="4373" width="4.28515625" style="118" customWidth="1"/>
    <col min="4374" max="4609" width="11.42578125" style="118"/>
    <col min="4610" max="4610" width="18.42578125" style="118" customWidth="1"/>
    <col min="4611" max="4611" width="10.85546875" style="118" customWidth="1"/>
    <col min="4612" max="4612" width="0.5703125" style="118" customWidth="1"/>
    <col min="4613" max="4617" width="13.28515625" style="118" customWidth="1"/>
    <col min="4618" max="4618" width="14" style="118" customWidth="1"/>
    <col min="4619" max="4620" width="13.28515625" style="118" customWidth="1"/>
    <col min="4621" max="4621" width="9" style="118" bestFit="1" customWidth="1"/>
    <col min="4622" max="4622" width="9.5703125" style="118" customWidth="1"/>
    <col min="4623" max="4623" width="8.28515625" style="118" customWidth="1"/>
    <col min="4624" max="4624" width="0" style="118" hidden="1" customWidth="1"/>
    <col min="4625" max="4625" width="4.42578125" style="118" bestFit="1" customWidth="1"/>
    <col min="4626" max="4627" width="4.7109375" style="118" customWidth="1"/>
    <col min="4628" max="4628" width="10.5703125" style="118" bestFit="1" customWidth="1"/>
    <col min="4629" max="4629" width="4.28515625" style="118" customWidth="1"/>
    <col min="4630" max="4865" width="11.42578125" style="118"/>
    <col min="4866" max="4866" width="18.42578125" style="118" customWidth="1"/>
    <col min="4867" max="4867" width="10.85546875" style="118" customWidth="1"/>
    <col min="4868" max="4868" width="0.5703125" style="118" customWidth="1"/>
    <col min="4869" max="4873" width="13.28515625" style="118" customWidth="1"/>
    <col min="4874" max="4874" width="14" style="118" customWidth="1"/>
    <col min="4875" max="4876" width="13.28515625" style="118" customWidth="1"/>
    <col min="4877" max="4877" width="9" style="118" bestFit="1" customWidth="1"/>
    <col min="4878" max="4878" width="9.5703125" style="118" customWidth="1"/>
    <col min="4879" max="4879" width="8.28515625" style="118" customWidth="1"/>
    <col min="4880" max="4880" width="0" style="118" hidden="1" customWidth="1"/>
    <col min="4881" max="4881" width="4.42578125" style="118" bestFit="1" customWidth="1"/>
    <col min="4882" max="4883" width="4.7109375" style="118" customWidth="1"/>
    <col min="4884" max="4884" width="10.5703125" style="118" bestFit="1" customWidth="1"/>
    <col min="4885" max="4885" width="4.28515625" style="118" customWidth="1"/>
    <col min="4886" max="5121" width="11.42578125" style="118"/>
    <col min="5122" max="5122" width="18.42578125" style="118" customWidth="1"/>
    <col min="5123" max="5123" width="10.85546875" style="118" customWidth="1"/>
    <col min="5124" max="5124" width="0.5703125" style="118" customWidth="1"/>
    <col min="5125" max="5129" width="13.28515625" style="118" customWidth="1"/>
    <col min="5130" max="5130" width="14" style="118" customWidth="1"/>
    <col min="5131" max="5132" width="13.28515625" style="118" customWidth="1"/>
    <col min="5133" max="5133" width="9" style="118" bestFit="1" customWidth="1"/>
    <col min="5134" max="5134" width="9.5703125" style="118" customWidth="1"/>
    <col min="5135" max="5135" width="8.28515625" style="118" customWidth="1"/>
    <col min="5136" max="5136" width="0" style="118" hidden="1" customWidth="1"/>
    <col min="5137" max="5137" width="4.42578125" style="118" bestFit="1" customWidth="1"/>
    <col min="5138" max="5139" width="4.7109375" style="118" customWidth="1"/>
    <col min="5140" max="5140" width="10.5703125" style="118" bestFit="1" customWidth="1"/>
    <col min="5141" max="5141" width="4.28515625" style="118" customWidth="1"/>
    <col min="5142" max="5377" width="11.42578125" style="118"/>
    <col min="5378" max="5378" width="18.42578125" style="118" customWidth="1"/>
    <col min="5379" max="5379" width="10.85546875" style="118" customWidth="1"/>
    <col min="5380" max="5380" width="0.5703125" style="118" customWidth="1"/>
    <col min="5381" max="5385" width="13.28515625" style="118" customWidth="1"/>
    <col min="5386" max="5386" width="14" style="118" customWidth="1"/>
    <col min="5387" max="5388" width="13.28515625" style="118" customWidth="1"/>
    <col min="5389" max="5389" width="9" style="118" bestFit="1" customWidth="1"/>
    <col min="5390" max="5390" width="9.5703125" style="118" customWidth="1"/>
    <col min="5391" max="5391" width="8.28515625" style="118" customWidth="1"/>
    <col min="5392" max="5392" width="0" style="118" hidden="1" customWidth="1"/>
    <col min="5393" max="5393" width="4.42578125" style="118" bestFit="1" customWidth="1"/>
    <col min="5394" max="5395" width="4.7109375" style="118" customWidth="1"/>
    <col min="5396" max="5396" width="10.5703125" style="118" bestFit="1" customWidth="1"/>
    <col min="5397" max="5397" width="4.28515625" style="118" customWidth="1"/>
    <col min="5398" max="5633" width="11.42578125" style="118"/>
    <col min="5634" max="5634" width="18.42578125" style="118" customWidth="1"/>
    <col min="5635" max="5635" width="10.85546875" style="118" customWidth="1"/>
    <col min="5636" max="5636" width="0.5703125" style="118" customWidth="1"/>
    <col min="5637" max="5641" width="13.28515625" style="118" customWidth="1"/>
    <col min="5642" max="5642" width="14" style="118" customWidth="1"/>
    <col min="5643" max="5644" width="13.28515625" style="118" customWidth="1"/>
    <col min="5645" max="5645" width="9" style="118" bestFit="1" customWidth="1"/>
    <col min="5646" max="5646" width="9.5703125" style="118" customWidth="1"/>
    <col min="5647" max="5647" width="8.28515625" style="118" customWidth="1"/>
    <col min="5648" max="5648" width="0" style="118" hidden="1" customWidth="1"/>
    <col min="5649" max="5649" width="4.42578125" style="118" bestFit="1" customWidth="1"/>
    <col min="5650" max="5651" width="4.7109375" style="118" customWidth="1"/>
    <col min="5652" max="5652" width="10.5703125" style="118" bestFit="1" customWidth="1"/>
    <col min="5653" max="5653" width="4.28515625" style="118" customWidth="1"/>
    <col min="5654" max="5889" width="11.42578125" style="118"/>
    <col min="5890" max="5890" width="18.42578125" style="118" customWidth="1"/>
    <col min="5891" max="5891" width="10.85546875" style="118" customWidth="1"/>
    <col min="5892" max="5892" width="0.5703125" style="118" customWidth="1"/>
    <col min="5893" max="5897" width="13.28515625" style="118" customWidth="1"/>
    <col min="5898" max="5898" width="14" style="118" customWidth="1"/>
    <col min="5899" max="5900" width="13.28515625" style="118" customWidth="1"/>
    <col min="5901" max="5901" width="9" style="118" bestFit="1" customWidth="1"/>
    <col min="5902" max="5902" width="9.5703125" style="118" customWidth="1"/>
    <col min="5903" max="5903" width="8.28515625" style="118" customWidth="1"/>
    <col min="5904" max="5904" width="0" style="118" hidden="1" customWidth="1"/>
    <col min="5905" max="5905" width="4.42578125" style="118" bestFit="1" customWidth="1"/>
    <col min="5906" max="5907" width="4.7109375" style="118" customWidth="1"/>
    <col min="5908" max="5908" width="10.5703125" style="118" bestFit="1" customWidth="1"/>
    <col min="5909" max="5909" width="4.28515625" style="118" customWidth="1"/>
    <col min="5910" max="6145" width="11.42578125" style="118"/>
    <col min="6146" max="6146" width="18.42578125" style="118" customWidth="1"/>
    <col min="6147" max="6147" width="10.85546875" style="118" customWidth="1"/>
    <col min="6148" max="6148" width="0.5703125" style="118" customWidth="1"/>
    <col min="6149" max="6153" width="13.28515625" style="118" customWidth="1"/>
    <col min="6154" max="6154" width="14" style="118" customWidth="1"/>
    <col min="6155" max="6156" width="13.28515625" style="118" customWidth="1"/>
    <col min="6157" max="6157" width="9" style="118" bestFit="1" customWidth="1"/>
    <col min="6158" max="6158" width="9.5703125" style="118" customWidth="1"/>
    <col min="6159" max="6159" width="8.28515625" style="118" customWidth="1"/>
    <col min="6160" max="6160" width="0" style="118" hidden="1" customWidth="1"/>
    <col min="6161" max="6161" width="4.42578125" style="118" bestFit="1" customWidth="1"/>
    <col min="6162" max="6163" width="4.7109375" style="118" customWidth="1"/>
    <col min="6164" max="6164" width="10.5703125" style="118" bestFit="1" customWidth="1"/>
    <col min="6165" max="6165" width="4.28515625" style="118" customWidth="1"/>
    <col min="6166" max="6401" width="11.42578125" style="118"/>
    <col min="6402" max="6402" width="18.42578125" style="118" customWidth="1"/>
    <col min="6403" max="6403" width="10.85546875" style="118" customWidth="1"/>
    <col min="6404" max="6404" width="0.5703125" style="118" customWidth="1"/>
    <col min="6405" max="6409" width="13.28515625" style="118" customWidth="1"/>
    <col min="6410" max="6410" width="14" style="118" customWidth="1"/>
    <col min="6411" max="6412" width="13.28515625" style="118" customWidth="1"/>
    <col min="6413" max="6413" width="9" style="118" bestFit="1" customWidth="1"/>
    <col min="6414" max="6414" width="9.5703125" style="118" customWidth="1"/>
    <col min="6415" max="6415" width="8.28515625" style="118" customWidth="1"/>
    <col min="6416" max="6416" width="0" style="118" hidden="1" customWidth="1"/>
    <col min="6417" max="6417" width="4.42578125" style="118" bestFit="1" customWidth="1"/>
    <col min="6418" max="6419" width="4.7109375" style="118" customWidth="1"/>
    <col min="6420" max="6420" width="10.5703125" style="118" bestFit="1" customWidth="1"/>
    <col min="6421" max="6421" width="4.28515625" style="118" customWidth="1"/>
    <col min="6422" max="6657" width="11.42578125" style="118"/>
    <col min="6658" max="6658" width="18.42578125" style="118" customWidth="1"/>
    <col min="6659" max="6659" width="10.85546875" style="118" customWidth="1"/>
    <col min="6660" max="6660" width="0.5703125" style="118" customWidth="1"/>
    <col min="6661" max="6665" width="13.28515625" style="118" customWidth="1"/>
    <col min="6666" max="6666" width="14" style="118" customWidth="1"/>
    <col min="6667" max="6668" width="13.28515625" style="118" customWidth="1"/>
    <col min="6669" max="6669" width="9" style="118" bestFit="1" customWidth="1"/>
    <col min="6670" max="6670" width="9.5703125" style="118" customWidth="1"/>
    <col min="6671" max="6671" width="8.28515625" style="118" customWidth="1"/>
    <col min="6672" max="6672" width="0" style="118" hidden="1" customWidth="1"/>
    <col min="6673" max="6673" width="4.42578125" style="118" bestFit="1" customWidth="1"/>
    <col min="6674" max="6675" width="4.7109375" style="118" customWidth="1"/>
    <col min="6676" max="6676" width="10.5703125" style="118" bestFit="1" customWidth="1"/>
    <col min="6677" max="6677" width="4.28515625" style="118" customWidth="1"/>
    <col min="6678" max="6913" width="11.42578125" style="118"/>
    <col min="6914" max="6914" width="18.42578125" style="118" customWidth="1"/>
    <col min="6915" max="6915" width="10.85546875" style="118" customWidth="1"/>
    <col min="6916" max="6916" width="0.5703125" style="118" customWidth="1"/>
    <col min="6917" max="6921" width="13.28515625" style="118" customWidth="1"/>
    <col min="6922" max="6922" width="14" style="118" customWidth="1"/>
    <col min="6923" max="6924" width="13.28515625" style="118" customWidth="1"/>
    <col min="6925" max="6925" width="9" style="118" bestFit="1" customWidth="1"/>
    <col min="6926" max="6926" width="9.5703125" style="118" customWidth="1"/>
    <col min="6927" max="6927" width="8.28515625" style="118" customWidth="1"/>
    <col min="6928" max="6928" width="0" style="118" hidden="1" customWidth="1"/>
    <col min="6929" max="6929" width="4.42578125" style="118" bestFit="1" customWidth="1"/>
    <col min="6930" max="6931" width="4.7109375" style="118" customWidth="1"/>
    <col min="6932" max="6932" width="10.5703125" style="118" bestFit="1" customWidth="1"/>
    <col min="6933" max="6933" width="4.28515625" style="118" customWidth="1"/>
    <col min="6934" max="7169" width="11.42578125" style="118"/>
    <col min="7170" max="7170" width="18.42578125" style="118" customWidth="1"/>
    <col min="7171" max="7171" width="10.85546875" style="118" customWidth="1"/>
    <col min="7172" max="7172" width="0.5703125" style="118" customWidth="1"/>
    <col min="7173" max="7177" width="13.28515625" style="118" customWidth="1"/>
    <col min="7178" max="7178" width="14" style="118" customWidth="1"/>
    <col min="7179" max="7180" width="13.28515625" style="118" customWidth="1"/>
    <col min="7181" max="7181" width="9" style="118" bestFit="1" customWidth="1"/>
    <col min="7182" max="7182" width="9.5703125" style="118" customWidth="1"/>
    <col min="7183" max="7183" width="8.28515625" style="118" customWidth="1"/>
    <col min="7184" max="7184" width="0" style="118" hidden="1" customWidth="1"/>
    <col min="7185" max="7185" width="4.42578125" style="118" bestFit="1" customWidth="1"/>
    <col min="7186" max="7187" width="4.7109375" style="118" customWidth="1"/>
    <col min="7188" max="7188" width="10.5703125" style="118" bestFit="1" customWidth="1"/>
    <col min="7189" max="7189" width="4.28515625" style="118" customWidth="1"/>
    <col min="7190" max="7425" width="11.42578125" style="118"/>
    <col min="7426" max="7426" width="18.42578125" style="118" customWidth="1"/>
    <col min="7427" max="7427" width="10.85546875" style="118" customWidth="1"/>
    <col min="7428" max="7428" width="0.5703125" style="118" customWidth="1"/>
    <col min="7429" max="7433" width="13.28515625" style="118" customWidth="1"/>
    <col min="7434" max="7434" width="14" style="118" customWidth="1"/>
    <col min="7435" max="7436" width="13.28515625" style="118" customWidth="1"/>
    <col min="7437" max="7437" width="9" style="118" bestFit="1" customWidth="1"/>
    <col min="7438" max="7438" width="9.5703125" style="118" customWidth="1"/>
    <col min="7439" max="7439" width="8.28515625" style="118" customWidth="1"/>
    <col min="7440" max="7440" width="0" style="118" hidden="1" customWidth="1"/>
    <col min="7441" max="7441" width="4.42578125" style="118" bestFit="1" customWidth="1"/>
    <col min="7442" max="7443" width="4.7109375" style="118" customWidth="1"/>
    <col min="7444" max="7444" width="10.5703125" style="118" bestFit="1" customWidth="1"/>
    <col min="7445" max="7445" width="4.28515625" style="118" customWidth="1"/>
    <col min="7446" max="7681" width="11.42578125" style="118"/>
    <col min="7682" max="7682" width="18.42578125" style="118" customWidth="1"/>
    <col min="7683" max="7683" width="10.85546875" style="118" customWidth="1"/>
    <col min="7684" max="7684" width="0.5703125" style="118" customWidth="1"/>
    <col min="7685" max="7689" width="13.28515625" style="118" customWidth="1"/>
    <col min="7690" max="7690" width="14" style="118" customWidth="1"/>
    <col min="7691" max="7692" width="13.28515625" style="118" customWidth="1"/>
    <col min="7693" max="7693" width="9" style="118" bestFit="1" customWidth="1"/>
    <col min="7694" max="7694" width="9.5703125" style="118" customWidth="1"/>
    <col min="7695" max="7695" width="8.28515625" style="118" customWidth="1"/>
    <col min="7696" max="7696" width="0" style="118" hidden="1" customWidth="1"/>
    <col min="7697" max="7697" width="4.42578125" style="118" bestFit="1" customWidth="1"/>
    <col min="7698" max="7699" width="4.7109375" style="118" customWidth="1"/>
    <col min="7700" max="7700" width="10.5703125" style="118" bestFit="1" customWidth="1"/>
    <col min="7701" max="7701" width="4.28515625" style="118" customWidth="1"/>
    <col min="7702" max="7937" width="11.42578125" style="118"/>
    <col min="7938" max="7938" width="18.42578125" style="118" customWidth="1"/>
    <col min="7939" max="7939" width="10.85546875" style="118" customWidth="1"/>
    <col min="7940" max="7940" width="0.5703125" style="118" customWidth="1"/>
    <col min="7941" max="7945" width="13.28515625" style="118" customWidth="1"/>
    <col min="7946" max="7946" width="14" style="118" customWidth="1"/>
    <col min="7947" max="7948" width="13.28515625" style="118" customWidth="1"/>
    <col min="7949" max="7949" width="9" style="118" bestFit="1" customWidth="1"/>
    <col min="7950" max="7950" width="9.5703125" style="118" customWidth="1"/>
    <col min="7951" max="7951" width="8.28515625" style="118" customWidth="1"/>
    <col min="7952" max="7952" width="0" style="118" hidden="1" customWidth="1"/>
    <col min="7953" max="7953" width="4.42578125" style="118" bestFit="1" customWidth="1"/>
    <col min="7954" max="7955" width="4.7109375" style="118" customWidth="1"/>
    <col min="7956" max="7956" width="10.5703125" style="118" bestFit="1" customWidth="1"/>
    <col min="7957" max="7957" width="4.28515625" style="118" customWidth="1"/>
    <col min="7958" max="8193" width="11.42578125" style="118"/>
    <col min="8194" max="8194" width="18.42578125" style="118" customWidth="1"/>
    <col min="8195" max="8195" width="10.85546875" style="118" customWidth="1"/>
    <col min="8196" max="8196" width="0.5703125" style="118" customWidth="1"/>
    <col min="8197" max="8201" width="13.28515625" style="118" customWidth="1"/>
    <col min="8202" max="8202" width="14" style="118" customWidth="1"/>
    <col min="8203" max="8204" width="13.28515625" style="118" customWidth="1"/>
    <col min="8205" max="8205" width="9" style="118" bestFit="1" customWidth="1"/>
    <col min="8206" max="8206" width="9.5703125" style="118" customWidth="1"/>
    <col min="8207" max="8207" width="8.28515625" style="118" customWidth="1"/>
    <col min="8208" max="8208" width="0" style="118" hidden="1" customWidth="1"/>
    <col min="8209" max="8209" width="4.42578125" style="118" bestFit="1" customWidth="1"/>
    <col min="8210" max="8211" width="4.7109375" style="118" customWidth="1"/>
    <col min="8212" max="8212" width="10.5703125" style="118" bestFit="1" customWidth="1"/>
    <col min="8213" max="8213" width="4.28515625" style="118" customWidth="1"/>
    <col min="8214" max="8449" width="11.42578125" style="118"/>
    <col min="8450" max="8450" width="18.42578125" style="118" customWidth="1"/>
    <col min="8451" max="8451" width="10.85546875" style="118" customWidth="1"/>
    <col min="8452" max="8452" width="0.5703125" style="118" customWidth="1"/>
    <col min="8453" max="8457" width="13.28515625" style="118" customWidth="1"/>
    <col min="8458" max="8458" width="14" style="118" customWidth="1"/>
    <col min="8459" max="8460" width="13.28515625" style="118" customWidth="1"/>
    <col min="8461" max="8461" width="9" style="118" bestFit="1" customWidth="1"/>
    <col min="8462" max="8462" width="9.5703125" style="118" customWidth="1"/>
    <col min="8463" max="8463" width="8.28515625" style="118" customWidth="1"/>
    <col min="8464" max="8464" width="0" style="118" hidden="1" customWidth="1"/>
    <col min="8465" max="8465" width="4.42578125" style="118" bestFit="1" customWidth="1"/>
    <col min="8466" max="8467" width="4.7109375" style="118" customWidth="1"/>
    <col min="8468" max="8468" width="10.5703125" style="118" bestFit="1" customWidth="1"/>
    <col min="8469" max="8469" width="4.28515625" style="118" customWidth="1"/>
    <col min="8470" max="8705" width="11.42578125" style="118"/>
    <col min="8706" max="8706" width="18.42578125" style="118" customWidth="1"/>
    <col min="8707" max="8707" width="10.85546875" style="118" customWidth="1"/>
    <col min="8708" max="8708" width="0.5703125" style="118" customWidth="1"/>
    <col min="8709" max="8713" width="13.28515625" style="118" customWidth="1"/>
    <col min="8714" max="8714" width="14" style="118" customWidth="1"/>
    <col min="8715" max="8716" width="13.28515625" style="118" customWidth="1"/>
    <col min="8717" max="8717" width="9" style="118" bestFit="1" customWidth="1"/>
    <col min="8718" max="8718" width="9.5703125" style="118" customWidth="1"/>
    <col min="8719" max="8719" width="8.28515625" style="118" customWidth="1"/>
    <col min="8720" max="8720" width="0" style="118" hidden="1" customWidth="1"/>
    <col min="8721" max="8721" width="4.42578125" style="118" bestFit="1" customWidth="1"/>
    <col min="8722" max="8723" width="4.7109375" style="118" customWidth="1"/>
    <col min="8724" max="8724" width="10.5703125" style="118" bestFit="1" customWidth="1"/>
    <col min="8725" max="8725" width="4.28515625" style="118" customWidth="1"/>
    <col min="8726" max="8961" width="11.42578125" style="118"/>
    <col min="8962" max="8962" width="18.42578125" style="118" customWidth="1"/>
    <col min="8963" max="8963" width="10.85546875" style="118" customWidth="1"/>
    <col min="8964" max="8964" width="0.5703125" style="118" customWidth="1"/>
    <col min="8965" max="8969" width="13.28515625" style="118" customWidth="1"/>
    <col min="8970" max="8970" width="14" style="118" customWidth="1"/>
    <col min="8971" max="8972" width="13.28515625" style="118" customWidth="1"/>
    <col min="8973" max="8973" width="9" style="118" bestFit="1" customWidth="1"/>
    <col min="8974" max="8974" width="9.5703125" style="118" customWidth="1"/>
    <col min="8975" max="8975" width="8.28515625" style="118" customWidth="1"/>
    <col min="8976" max="8976" width="0" style="118" hidden="1" customWidth="1"/>
    <col min="8977" max="8977" width="4.42578125" style="118" bestFit="1" customWidth="1"/>
    <col min="8978" max="8979" width="4.7109375" style="118" customWidth="1"/>
    <col min="8980" max="8980" width="10.5703125" style="118" bestFit="1" customWidth="1"/>
    <col min="8981" max="8981" width="4.28515625" style="118" customWidth="1"/>
    <col min="8982" max="9217" width="11.42578125" style="118"/>
    <col min="9218" max="9218" width="18.42578125" style="118" customWidth="1"/>
    <col min="9219" max="9219" width="10.85546875" style="118" customWidth="1"/>
    <col min="9220" max="9220" width="0.5703125" style="118" customWidth="1"/>
    <col min="9221" max="9225" width="13.28515625" style="118" customWidth="1"/>
    <col min="9226" max="9226" width="14" style="118" customWidth="1"/>
    <col min="9227" max="9228" width="13.28515625" style="118" customWidth="1"/>
    <col min="9229" max="9229" width="9" style="118" bestFit="1" customWidth="1"/>
    <col min="9230" max="9230" width="9.5703125" style="118" customWidth="1"/>
    <col min="9231" max="9231" width="8.28515625" style="118" customWidth="1"/>
    <col min="9232" max="9232" width="0" style="118" hidden="1" customWidth="1"/>
    <col min="9233" max="9233" width="4.42578125" style="118" bestFit="1" customWidth="1"/>
    <col min="9234" max="9235" width="4.7109375" style="118" customWidth="1"/>
    <col min="9236" max="9236" width="10.5703125" style="118" bestFit="1" customWidth="1"/>
    <col min="9237" max="9237" width="4.28515625" style="118" customWidth="1"/>
    <col min="9238" max="9473" width="11.42578125" style="118"/>
    <col min="9474" max="9474" width="18.42578125" style="118" customWidth="1"/>
    <col min="9475" max="9475" width="10.85546875" style="118" customWidth="1"/>
    <col min="9476" max="9476" width="0.5703125" style="118" customWidth="1"/>
    <col min="9477" max="9481" width="13.28515625" style="118" customWidth="1"/>
    <col min="9482" max="9482" width="14" style="118" customWidth="1"/>
    <col min="9483" max="9484" width="13.28515625" style="118" customWidth="1"/>
    <col min="9485" max="9485" width="9" style="118" bestFit="1" customWidth="1"/>
    <col min="9486" max="9486" width="9.5703125" style="118" customWidth="1"/>
    <col min="9487" max="9487" width="8.28515625" style="118" customWidth="1"/>
    <col min="9488" max="9488" width="0" style="118" hidden="1" customWidth="1"/>
    <col min="9489" max="9489" width="4.42578125" style="118" bestFit="1" customWidth="1"/>
    <col min="9490" max="9491" width="4.7109375" style="118" customWidth="1"/>
    <col min="9492" max="9492" width="10.5703125" style="118" bestFit="1" customWidth="1"/>
    <col min="9493" max="9493" width="4.28515625" style="118" customWidth="1"/>
    <col min="9494" max="9729" width="11.42578125" style="118"/>
    <col min="9730" max="9730" width="18.42578125" style="118" customWidth="1"/>
    <col min="9731" max="9731" width="10.85546875" style="118" customWidth="1"/>
    <col min="9732" max="9732" width="0.5703125" style="118" customWidth="1"/>
    <col min="9733" max="9737" width="13.28515625" style="118" customWidth="1"/>
    <col min="9738" max="9738" width="14" style="118" customWidth="1"/>
    <col min="9739" max="9740" width="13.28515625" style="118" customWidth="1"/>
    <col min="9741" max="9741" width="9" style="118" bestFit="1" customWidth="1"/>
    <col min="9742" max="9742" width="9.5703125" style="118" customWidth="1"/>
    <col min="9743" max="9743" width="8.28515625" style="118" customWidth="1"/>
    <col min="9744" max="9744" width="0" style="118" hidden="1" customWidth="1"/>
    <col min="9745" max="9745" width="4.42578125" style="118" bestFit="1" customWidth="1"/>
    <col min="9746" max="9747" width="4.7109375" style="118" customWidth="1"/>
    <col min="9748" max="9748" width="10.5703125" style="118" bestFit="1" customWidth="1"/>
    <col min="9749" max="9749" width="4.28515625" style="118" customWidth="1"/>
    <col min="9750" max="9985" width="11.42578125" style="118"/>
    <col min="9986" max="9986" width="18.42578125" style="118" customWidth="1"/>
    <col min="9987" max="9987" width="10.85546875" style="118" customWidth="1"/>
    <col min="9988" max="9988" width="0.5703125" style="118" customWidth="1"/>
    <col min="9989" max="9993" width="13.28515625" style="118" customWidth="1"/>
    <col min="9994" max="9994" width="14" style="118" customWidth="1"/>
    <col min="9995" max="9996" width="13.28515625" style="118" customWidth="1"/>
    <col min="9997" max="9997" width="9" style="118" bestFit="1" customWidth="1"/>
    <col min="9998" max="9998" width="9.5703125" style="118" customWidth="1"/>
    <col min="9999" max="9999" width="8.28515625" style="118" customWidth="1"/>
    <col min="10000" max="10000" width="0" style="118" hidden="1" customWidth="1"/>
    <col min="10001" max="10001" width="4.42578125" style="118" bestFit="1" customWidth="1"/>
    <col min="10002" max="10003" width="4.7109375" style="118" customWidth="1"/>
    <col min="10004" max="10004" width="10.5703125" style="118" bestFit="1" customWidth="1"/>
    <col min="10005" max="10005" width="4.28515625" style="118" customWidth="1"/>
    <col min="10006" max="10241" width="11.42578125" style="118"/>
    <col min="10242" max="10242" width="18.42578125" style="118" customWidth="1"/>
    <col min="10243" max="10243" width="10.85546875" style="118" customWidth="1"/>
    <col min="10244" max="10244" width="0.5703125" style="118" customWidth="1"/>
    <col min="10245" max="10249" width="13.28515625" style="118" customWidth="1"/>
    <col min="10250" max="10250" width="14" style="118" customWidth="1"/>
    <col min="10251" max="10252" width="13.28515625" style="118" customWidth="1"/>
    <col min="10253" max="10253" width="9" style="118" bestFit="1" customWidth="1"/>
    <col min="10254" max="10254" width="9.5703125" style="118" customWidth="1"/>
    <col min="10255" max="10255" width="8.28515625" style="118" customWidth="1"/>
    <col min="10256" max="10256" width="0" style="118" hidden="1" customWidth="1"/>
    <col min="10257" max="10257" width="4.42578125" style="118" bestFit="1" customWidth="1"/>
    <col min="10258" max="10259" width="4.7109375" style="118" customWidth="1"/>
    <col min="10260" max="10260" width="10.5703125" style="118" bestFit="1" customWidth="1"/>
    <col min="10261" max="10261" width="4.28515625" style="118" customWidth="1"/>
    <col min="10262" max="10497" width="11.42578125" style="118"/>
    <col min="10498" max="10498" width="18.42578125" style="118" customWidth="1"/>
    <col min="10499" max="10499" width="10.85546875" style="118" customWidth="1"/>
    <col min="10500" max="10500" width="0.5703125" style="118" customWidth="1"/>
    <col min="10501" max="10505" width="13.28515625" style="118" customWidth="1"/>
    <col min="10506" max="10506" width="14" style="118" customWidth="1"/>
    <col min="10507" max="10508" width="13.28515625" style="118" customWidth="1"/>
    <col min="10509" max="10509" width="9" style="118" bestFit="1" customWidth="1"/>
    <col min="10510" max="10510" width="9.5703125" style="118" customWidth="1"/>
    <col min="10511" max="10511" width="8.28515625" style="118" customWidth="1"/>
    <col min="10512" max="10512" width="0" style="118" hidden="1" customWidth="1"/>
    <col min="10513" max="10513" width="4.42578125" style="118" bestFit="1" customWidth="1"/>
    <col min="10514" max="10515" width="4.7109375" style="118" customWidth="1"/>
    <col min="10516" max="10516" width="10.5703125" style="118" bestFit="1" customWidth="1"/>
    <col min="10517" max="10517" width="4.28515625" style="118" customWidth="1"/>
    <col min="10518" max="10753" width="11.42578125" style="118"/>
    <col min="10754" max="10754" width="18.42578125" style="118" customWidth="1"/>
    <col min="10755" max="10755" width="10.85546875" style="118" customWidth="1"/>
    <col min="10756" max="10756" width="0.5703125" style="118" customWidth="1"/>
    <col min="10757" max="10761" width="13.28515625" style="118" customWidth="1"/>
    <col min="10762" max="10762" width="14" style="118" customWidth="1"/>
    <col min="10763" max="10764" width="13.28515625" style="118" customWidth="1"/>
    <col min="10765" max="10765" width="9" style="118" bestFit="1" customWidth="1"/>
    <col min="10766" max="10766" width="9.5703125" style="118" customWidth="1"/>
    <col min="10767" max="10767" width="8.28515625" style="118" customWidth="1"/>
    <col min="10768" max="10768" width="0" style="118" hidden="1" customWidth="1"/>
    <col min="10769" max="10769" width="4.42578125" style="118" bestFit="1" customWidth="1"/>
    <col min="10770" max="10771" width="4.7109375" style="118" customWidth="1"/>
    <col min="10772" max="10772" width="10.5703125" style="118" bestFit="1" customWidth="1"/>
    <col min="10773" max="10773" width="4.28515625" style="118" customWidth="1"/>
    <col min="10774" max="11009" width="11.42578125" style="118"/>
    <col min="11010" max="11010" width="18.42578125" style="118" customWidth="1"/>
    <col min="11011" max="11011" width="10.85546875" style="118" customWidth="1"/>
    <col min="11012" max="11012" width="0.5703125" style="118" customWidth="1"/>
    <col min="11013" max="11017" width="13.28515625" style="118" customWidth="1"/>
    <col min="11018" max="11018" width="14" style="118" customWidth="1"/>
    <col min="11019" max="11020" width="13.28515625" style="118" customWidth="1"/>
    <col min="11021" max="11021" width="9" style="118" bestFit="1" customWidth="1"/>
    <col min="11022" max="11022" width="9.5703125" style="118" customWidth="1"/>
    <col min="11023" max="11023" width="8.28515625" style="118" customWidth="1"/>
    <col min="11024" max="11024" width="0" style="118" hidden="1" customWidth="1"/>
    <col min="11025" max="11025" width="4.42578125" style="118" bestFit="1" customWidth="1"/>
    <col min="11026" max="11027" width="4.7109375" style="118" customWidth="1"/>
    <col min="11028" max="11028" width="10.5703125" style="118" bestFit="1" customWidth="1"/>
    <col min="11029" max="11029" width="4.28515625" style="118" customWidth="1"/>
    <col min="11030" max="11265" width="11.42578125" style="118"/>
    <col min="11266" max="11266" width="18.42578125" style="118" customWidth="1"/>
    <col min="11267" max="11267" width="10.85546875" style="118" customWidth="1"/>
    <col min="11268" max="11268" width="0.5703125" style="118" customWidth="1"/>
    <col min="11269" max="11273" width="13.28515625" style="118" customWidth="1"/>
    <col min="11274" max="11274" width="14" style="118" customWidth="1"/>
    <col min="11275" max="11276" width="13.28515625" style="118" customWidth="1"/>
    <col min="11277" max="11277" width="9" style="118" bestFit="1" customWidth="1"/>
    <col min="11278" max="11278" width="9.5703125" style="118" customWidth="1"/>
    <col min="11279" max="11279" width="8.28515625" style="118" customWidth="1"/>
    <col min="11280" max="11280" width="0" style="118" hidden="1" customWidth="1"/>
    <col min="11281" max="11281" width="4.42578125" style="118" bestFit="1" customWidth="1"/>
    <col min="11282" max="11283" width="4.7109375" style="118" customWidth="1"/>
    <col min="11284" max="11284" width="10.5703125" style="118" bestFit="1" customWidth="1"/>
    <col min="11285" max="11285" width="4.28515625" style="118" customWidth="1"/>
    <col min="11286" max="11521" width="11.42578125" style="118"/>
    <col min="11522" max="11522" width="18.42578125" style="118" customWidth="1"/>
    <col min="11523" max="11523" width="10.85546875" style="118" customWidth="1"/>
    <col min="11524" max="11524" width="0.5703125" style="118" customWidth="1"/>
    <col min="11525" max="11529" width="13.28515625" style="118" customWidth="1"/>
    <col min="11530" max="11530" width="14" style="118" customWidth="1"/>
    <col min="11531" max="11532" width="13.28515625" style="118" customWidth="1"/>
    <col min="11533" max="11533" width="9" style="118" bestFit="1" customWidth="1"/>
    <col min="11534" max="11534" width="9.5703125" style="118" customWidth="1"/>
    <col min="11535" max="11535" width="8.28515625" style="118" customWidth="1"/>
    <col min="11536" max="11536" width="0" style="118" hidden="1" customWidth="1"/>
    <col min="11537" max="11537" width="4.42578125" style="118" bestFit="1" customWidth="1"/>
    <col min="11538" max="11539" width="4.7109375" style="118" customWidth="1"/>
    <col min="11540" max="11540" width="10.5703125" style="118" bestFit="1" customWidth="1"/>
    <col min="11541" max="11541" width="4.28515625" style="118" customWidth="1"/>
    <col min="11542" max="11777" width="11.42578125" style="118"/>
    <col min="11778" max="11778" width="18.42578125" style="118" customWidth="1"/>
    <col min="11779" max="11779" width="10.85546875" style="118" customWidth="1"/>
    <col min="11780" max="11780" width="0.5703125" style="118" customWidth="1"/>
    <col min="11781" max="11785" width="13.28515625" style="118" customWidth="1"/>
    <col min="11786" max="11786" width="14" style="118" customWidth="1"/>
    <col min="11787" max="11788" width="13.28515625" style="118" customWidth="1"/>
    <col min="11789" max="11789" width="9" style="118" bestFit="1" customWidth="1"/>
    <col min="11790" max="11790" width="9.5703125" style="118" customWidth="1"/>
    <col min="11791" max="11791" width="8.28515625" style="118" customWidth="1"/>
    <col min="11792" max="11792" width="0" style="118" hidden="1" customWidth="1"/>
    <col min="11793" max="11793" width="4.42578125" style="118" bestFit="1" customWidth="1"/>
    <col min="11794" max="11795" width="4.7109375" style="118" customWidth="1"/>
    <col min="11796" max="11796" width="10.5703125" style="118" bestFit="1" customWidth="1"/>
    <col min="11797" max="11797" width="4.28515625" style="118" customWidth="1"/>
    <col min="11798" max="12033" width="11.42578125" style="118"/>
    <col min="12034" max="12034" width="18.42578125" style="118" customWidth="1"/>
    <col min="12035" max="12035" width="10.85546875" style="118" customWidth="1"/>
    <col min="12036" max="12036" width="0.5703125" style="118" customWidth="1"/>
    <col min="12037" max="12041" width="13.28515625" style="118" customWidth="1"/>
    <col min="12042" max="12042" width="14" style="118" customWidth="1"/>
    <col min="12043" max="12044" width="13.28515625" style="118" customWidth="1"/>
    <col min="12045" max="12045" width="9" style="118" bestFit="1" customWidth="1"/>
    <col min="12046" max="12046" width="9.5703125" style="118" customWidth="1"/>
    <col min="12047" max="12047" width="8.28515625" style="118" customWidth="1"/>
    <col min="12048" max="12048" width="0" style="118" hidden="1" customWidth="1"/>
    <col min="12049" max="12049" width="4.42578125" style="118" bestFit="1" customWidth="1"/>
    <col min="12050" max="12051" width="4.7109375" style="118" customWidth="1"/>
    <col min="12052" max="12052" width="10.5703125" style="118" bestFit="1" customWidth="1"/>
    <col min="12053" max="12053" width="4.28515625" style="118" customWidth="1"/>
    <col min="12054" max="12289" width="11.42578125" style="118"/>
    <col min="12290" max="12290" width="18.42578125" style="118" customWidth="1"/>
    <col min="12291" max="12291" width="10.85546875" style="118" customWidth="1"/>
    <col min="12292" max="12292" width="0.5703125" style="118" customWidth="1"/>
    <col min="12293" max="12297" width="13.28515625" style="118" customWidth="1"/>
    <col min="12298" max="12298" width="14" style="118" customWidth="1"/>
    <col min="12299" max="12300" width="13.28515625" style="118" customWidth="1"/>
    <col min="12301" max="12301" width="9" style="118" bestFit="1" customWidth="1"/>
    <col min="12302" max="12302" width="9.5703125" style="118" customWidth="1"/>
    <col min="12303" max="12303" width="8.28515625" style="118" customWidth="1"/>
    <col min="12304" max="12304" width="0" style="118" hidden="1" customWidth="1"/>
    <col min="12305" max="12305" width="4.42578125" style="118" bestFit="1" customWidth="1"/>
    <col min="12306" max="12307" width="4.7109375" style="118" customWidth="1"/>
    <col min="12308" max="12308" width="10.5703125" style="118" bestFit="1" customWidth="1"/>
    <col min="12309" max="12309" width="4.28515625" style="118" customWidth="1"/>
    <col min="12310" max="12545" width="11.42578125" style="118"/>
    <col min="12546" max="12546" width="18.42578125" style="118" customWidth="1"/>
    <col min="12547" max="12547" width="10.85546875" style="118" customWidth="1"/>
    <col min="12548" max="12548" width="0.5703125" style="118" customWidth="1"/>
    <col min="12549" max="12553" width="13.28515625" style="118" customWidth="1"/>
    <col min="12554" max="12554" width="14" style="118" customWidth="1"/>
    <col min="12555" max="12556" width="13.28515625" style="118" customWidth="1"/>
    <col min="12557" max="12557" width="9" style="118" bestFit="1" customWidth="1"/>
    <col min="12558" max="12558" width="9.5703125" style="118" customWidth="1"/>
    <col min="12559" max="12559" width="8.28515625" style="118" customWidth="1"/>
    <col min="12560" max="12560" width="0" style="118" hidden="1" customWidth="1"/>
    <col min="12561" max="12561" width="4.42578125" style="118" bestFit="1" customWidth="1"/>
    <col min="12562" max="12563" width="4.7109375" style="118" customWidth="1"/>
    <col min="12564" max="12564" width="10.5703125" style="118" bestFit="1" customWidth="1"/>
    <col min="12565" max="12565" width="4.28515625" style="118" customWidth="1"/>
    <col min="12566" max="12801" width="11.42578125" style="118"/>
    <col min="12802" max="12802" width="18.42578125" style="118" customWidth="1"/>
    <col min="12803" max="12803" width="10.85546875" style="118" customWidth="1"/>
    <col min="12804" max="12804" width="0.5703125" style="118" customWidth="1"/>
    <col min="12805" max="12809" width="13.28515625" style="118" customWidth="1"/>
    <col min="12810" max="12810" width="14" style="118" customWidth="1"/>
    <col min="12811" max="12812" width="13.28515625" style="118" customWidth="1"/>
    <col min="12813" max="12813" width="9" style="118" bestFit="1" customWidth="1"/>
    <col min="12814" max="12814" width="9.5703125" style="118" customWidth="1"/>
    <col min="12815" max="12815" width="8.28515625" style="118" customWidth="1"/>
    <col min="12816" max="12816" width="0" style="118" hidden="1" customWidth="1"/>
    <col min="12817" max="12817" width="4.42578125" style="118" bestFit="1" customWidth="1"/>
    <col min="12818" max="12819" width="4.7109375" style="118" customWidth="1"/>
    <col min="12820" max="12820" width="10.5703125" style="118" bestFit="1" customWidth="1"/>
    <col min="12821" max="12821" width="4.28515625" style="118" customWidth="1"/>
    <col min="12822" max="13057" width="11.42578125" style="118"/>
    <col min="13058" max="13058" width="18.42578125" style="118" customWidth="1"/>
    <col min="13059" max="13059" width="10.85546875" style="118" customWidth="1"/>
    <col min="13060" max="13060" width="0.5703125" style="118" customWidth="1"/>
    <col min="13061" max="13065" width="13.28515625" style="118" customWidth="1"/>
    <col min="13066" max="13066" width="14" style="118" customWidth="1"/>
    <col min="13067" max="13068" width="13.28515625" style="118" customWidth="1"/>
    <col min="13069" max="13069" width="9" style="118" bestFit="1" customWidth="1"/>
    <col min="13070" max="13070" width="9.5703125" style="118" customWidth="1"/>
    <col min="13071" max="13071" width="8.28515625" style="118" customWidth="1"/>
    <col min="13072" max="13072" width="0" style="118" hidden="1" customWidth="1"/>
    <col min="13073" max="13073" width="4.42578125" style="118" bestFit="1" customWidth="1"/>
    <col min="13074" max="13075" width="4.7109375" style="118" customWidth="1"/>
    <col min="13076" max="13076" width="10.5703125" style="118" bestFit="1" customWidth="1"/>
    <col min="13077" max="13077" width="4.28515625" style="118" customWidth="1"/>
    <col min="13078" max="13313" width="11.42578125" style="118"/>
    <col min="13314" max="13314" width="18.42578125" style="118" customWidth="1"/>
    <col min="13315" max="13315" width="10.85546875" style="118" customWidth="1"/>
    <col min="13316" max="13316" width="0.5703125" style="118" customWidth="1"/>
    <col min="13317" max="13321" width="13.28515625" style="118" customWidth="1"/>
    <col min="13322" max="13322" width="14" style="118" customWidth="1"/>
    <col min="13323" max="13324" width="13.28515625" style="118" customWidth="1"/>
    <col min="13325" max="13325" width="9" style="118" bestFit="1" customWidth="1"/>
    <col min="13326" max="13326" width="9.5703125" style="118" customWidth="1"/>
    <col min="13327" max="13327" width="8.28515625" style="118" customWidth="1"/>
    <col min="13328" max="13328" width="0" style="118" hidden="1" customWidth="1"/>
    <col min="13329" max="13329" width="4.42578125" style="118" bestFit="1" customWidth="1"/>
    <col min="13330" max="13331" width="4.7109375" style="118" customWidth="1"/>
    <col min="13332" max="13332" width="10.5703125" style="118" bestFit="1" customWidth="1"/>
    <col min="13333" max="13333" width="4.28515625" style="118" customWidth="1"/>
    <col min="13334" max="13569" width="11.42578125" style="118"/>
    <col min="13570" max="13570" width="18.42578125" style="118" customWidth="1"/>
    <col min="13571" max="13571" width="10.85546875" style="118" customWidth="1"/>
    <col min="13572" max="13572" width="0.5703125" style="118" customWidth="1"/>
    <col min="13573" max="13577" width="13.28515625" style="118" customWidth="1"/>
    <col min="13578" max="13578" width="14" style="118" customWidth="1"/>
    <col min="13579" max="13580" width="13.28515625" style="118" customWidth="1"/>
    <col min="13581" max="13581" width="9" style="118" bestFit="1" customWidth="1"/>
    <col min="13582" max="13582" width="9.5703125" style="118" customWidth="1"/>
    <col min="13583" max="13583" width="8.28515625" style="118" customWidth="1"/>
    <col min="13584" max="13584" width="0" style="118" hidden="1" customWidth="1"/>
    <col min="13585" max="13585" width="4.42578125" style="118" bestFit="1" customWidth="1"/>
    <col min="13586" max="13587" width="4.7109375" style="118" customWidth="1"/>
    <col min="13588" max="13588" width="10.5703125" style="118" bestFit="1" customWidth="1"/>
    <col min="13589" max="13589" width="4.28515625" style="118" customWidth="1"/>
    <col min="13590" max="13825" width="11.42578125" style="118"/>
    <col min="13826" max="13826" width="18.42578125" style="118" customWidth="1"/>
    <col min="13827" max="13827" width="10.85546875" style="118" customWidth="1"/>
    <col min="13828" max="13828" width="0.5703125" style="118" customWidth="1"/>
    <col min="13829" max="13833" width="13.28515625" style="118" customWidth="1"/>
    <col min="13834" max="13834" width="14" style="118" customWidth="1"/>
    <col min="13835" max="13836" width="13.28515625" style="118" customWidth="1"/>
    <col min="13837" max="13837" width="9" style="118" bestFit="1" customWidth="1"/>
    <col min="13838" max="13838" width="9.5703125" style="118" customWidth="1"/>
    <col min="13839" max="13839" width="8.28515625" style="118" customWidth="1"/>
    <col min="13840" max="13840" width="0" style="118" hidden="1" customWidth="1"/>
    <col min="13841" max="13841" width="4.42578125" style="118" bestFit="1" customWidth="1"/>
    <col min="13842" max="13843" width="4.7109375" style="118" customWidth="1"/>
    <col min="13844" max="13844" width="10.5703125" style="118" bestFit="1" customWidth="1"/>
    <col min="13845" max="13845" width="4.28515625" style="118" customWidth="1"/>
    <col min="13846" max="14081" width="11.42578125" style="118"/>
    <col min="14082" max="14082" width="18.42578125" style="118" customWidth="1"/>
    <col min="14083" max="14083" width="10.85546875" style="118" customWidth="1"/>
    <col min="14084" max="14084" width="0.5703125" style="118" customWidth="1"/>
    <col min="14085" max="14089" width="13.28515625" style="118" customWidth="1"/>
    <col min="14090" max="14090" width="14" style="118" customWidth="1"/>
    <col min="14091" max="14092" width="13.28515625" style="118" customWidth="1"/>
    <col min="14093" max="14093" width="9" style="118" bestFit="1" customWidth="1"/>
    <col min="14094" max="14094" width="9.5703125" style="118" customWidth="1"/>
    <col min="14095" max="14095" width="8.28515625" style="118" customWidth="1"/>
    <col min="14096" max="14096" width="0" style="118" hidden="1" customWidth="1"/>
    <col min="14097" max="14097" width="4.42578125" style="118" bestFit="1" customWidth="1"/>
    <col min="14098" max="14099" width="4.7109375" style="118" customWidth="1"/>
    <col min="14100" max="14100" width="10.5703125" style="118" bestFit="1" customWidth="1"/>
    <col min="14101" max="14101" width="4.28515625" style="118" customWidth="1"/>
    <col min="14102" max="14337" width="11.42578125" style="118"/>
    <col min="14338" max="14338" width="18.42578125" style="118" customWidth="1"/>
    <col min="14339" max="14339" width="10.85546875" style="118" customWidth="1"/>
    <col min="14340" max="14340" width="0.5703125" style="118" customWidth="1"/>
    <col min="14341" max="14345" width="13.28515625" style="118" customWidth="1"/>
    <col min="14346" max="14346" width="14" style="118" customWidth="1"/>
    <col min="14347" max="14348" width="13.28515625" style="118" customWidth="1"/>
    <col min="14349" max="14349" width="9" style="118" bestFit="1" customWidth="1"/>
    <col min="14350" max="14350" width="9.5703125" style="118" customWidth="1"/>
    <col min="14351" max="14351" width="8.28515625" style="118" customWidth="1"/>
    <col min="14352" max="14352" width="0" style="118" hidden="1" customWidth="1"/>
    <col min="14353" max="14353" width="4.42578125" style="118" bestFit="1" customWidth="1"/>
    <col min="14354" max="14355" width="4.7109375" style="118" customWidth="1"/>
    <col min="14356" max="14356" width="10.5703125" style="118" bestFit="1" customWidth="1"/>
    <col min="14357" max="14357" width="4.28515625" style="118" customWidth="1"/>
    <col min="14358" max="14593" width="11.42578125" style="118"/>
    <col min="14594" max="14594" width="18.42578125" style="118" customWidth="1"/>
    <col min="14595" max="14595" width="10.85546875" style="118" customWidth="1"/>
    <col min="14596" max="14596" width="0.5703125" style="118" customWidth="1"/>
    <col min="14597" max="14601" width="13.28515625" style="118" customWidth="1"/>
    <col min="14602" max="14602" width="14" style="118" customWidth="1"/>
    <col min="14603" max="14604" width="13.28515625" style="118" customWidth="1"/>
    <col min="14605" max="14605" width="9" style="118" bestFit="1" customWidth="1"/>
    <col min="14606" max="14606" width="9.5703125" style="118" customWidth="1"/>
    <col min="14607" max="14607" width="8.28515625" style="118" customWidth="1"/>
    <col min="14608" max="14608" width="0" style="118" hidden="1" customWidth="1"/>
    <col min="14609" max="14609" width="4.42578125" style="118" bestFit="1" customWidth="1"/>
    <col min="14610" max="14611" width="4.7109375" style="118" customWidth="1"/>
    <col min="14612" max="14612" width="10.5703125" style="118" bestFit="1" customWidth="1"/>
    <col min="14613" max="14613" width="4.28515625" style="118" customWidth="1"/>
    <col min="14614" max="14849" width="11.42578125" style="118"/>
    <col min="14850" max="14850" width="18.42578125" style="118" customWidth="1"/>
    <col min="14851" max="14851" width="10.85546875" style="118" customWidth="1"/>
    <col min="14852" max="14852" width="0.5703125" style="118" customWidth="1"/>
    <col min="14853" max="14857" width="13.28515625" style="118" customWidth="1"/>
    <col min="14858" max="14858" width="14" style="118" customWidth="1"/>
    <col min="14859" max="14860" width="13.28515625" style="118" customWidth="1"/>
    <col min="14861" max="14861" width="9" style="118" bestFit="1" customWidth="1"/>
    <col min="14862" max="14862" width="9.5703125" style="118" customWidth="1"/>
    <col min="14863" max="14863" width="8.28515625" style="118" customWidth="1"/>
    <col min="14864" max="14864" width="0" style="118" hidden="1" customWidth="1"/>
    <col min="14865" max="14865" width="4.42578125" style="118" bestFit="1" customWidth="1"/>
    <col min="14866" max="14867" width="4.7109375" style="118" customWidth="1"/>
    <col min="14868" max="14868" width="10.5703125" style="118" bestFit="1" customWidth="1"/>
    <col min="14869" max="14869" width="4.28515625" style="118" customWidth="1"/>
    <col min="14870" max="15105" width="11.42578125" style="118"/>
    <col min="15106" max="15106" width="18.42578125" style="118" customWidth="1"/>
    <col min="15107" max="15107" width="10.85546875" style="118" customWidth="1"/>
    <col min="15108" max="15108" width="0.5703125" style="118" customWidth="1"/>
    <col min="15109" max="15113" width="13.28515625" style="118" customWidth="1"/>
    <col min="15114" max="15114" width="14" style="118" customWidth="1"/>
    <col min="15115" max="15116" width="13.28515625" style="118" customWidth="1"/>
    <col min="15117" max="15117" width="9" style="118" bestFit="1" customWidth="1"/>
    <col min="15118" max="15118" width="9.5703125" style="118" customWidth="1"/>
    <col min="15119" max="15119" width="8.28515625" style="118" customWidth="1"/>
    <col min="15120" max="15120" width="0" style="118" hidden="1" customWidth="1"/>
    <col min="15121" max="15121" width="4.42578125" style="118" bestFit="1" customWidth="1"/>
    <col min="15122" max="15123" width="4.7109375" style="118" customWidth="1"/>
    <col min="15124" max="15124" width="10.5703125" style="118" bestFit="1" customWidth="1"/>
    <col min="15125" max="15125" width="4.28515625" style="118" customWidth="1"/>
    <col min="15126" max="15361" width="11.42578125" style="118"/>
    <col min="15362" max="15362" width="18.42578125" style="118" customWidth="1"/>
    <col min="15363" max="15363" width="10.85546875" style="118" customWidth="1"/>
    <col min="15364" max="15364" width="0.5703125" style="118" customWidth="1"/>
    <col min="15365" max="15369" width="13.28515625" style="118" customWidth="1"/>
    <col min="15370" max="15370" width="14" style="118" customWidth="1"/>
    <col min="15371" max="15372" width="13.28515625" style="118" customWidth="1"/>
    <col min="15373" max="15373" width="9" style="118" bestFit="1" customWidth="1"/>
    <col min="15374" max="15374" width="9.5703125" style="118" customWidth="1"/>
    <col min="15375" max="15375" width="8.28515625" style="118" customWidth="1"/>
    <col min="15376" max="15376" width="0" style="118" hidden="1" customWidth="1"/>
    <col min="15377" max="15377" width="4.42578125" style="118" bestFit="1" customWidth="1"/>
    <col min="15378" max="15379" width="4.7109375" style="118" customWidth="1"/>
    <col min="15380" max="15380" width="10.5703125" style="118" bestFit="1" customWidth="1"/>
    <col min="15381" max="15381" width="4.28515625" style="118" customWidth="1"/>
    <col min="15382" max="15617" width="11.42578125" style="118"/>
    <col min="15618" max="15618" width="18.42578125" style="118" customWidth="1"/>
    <col min="15619" max="15619" width="10.85546875" style="118" customWidth="1"/>
    <col min="15620" max="15620" width="0.5703125" style="118" customWidth="1"/>
    <col min="15621" max="15625" width="13.28515625" style="118" customWidth="1"/>
    <col min="15626" max="15626" width="14" style="118" customWidth="1"/>
    <col min="15627" max="15628" width="13.28515625" style="118" customWidth="1"/>
    <col min="15629" max="15629" width="9" style="118" bestFit="1" customWidth="1"/>
    <col min="15630" max="15630" width="9.5703125" style="118" customWidth="1"/>
    <col min="15631" max="15631" width="8.28515625" style="118" customWidth="1"/>
    <col min="15632" max="15632" width="0" style="118" hidden="1" customWidth="1"/>
    <col min="15633" max="15633" width="4.42578125" style="118" bestFit="1" customWidth="1"/>
    <col min="15634" max="15635" width="4.7109375" style="118" customWidth="1"/>
    <col min="15636" max="15636" width="10.5703125" style="118" bestFit="1" customWidth="1"/>
    <col min="15637" max="15637" width="4.28515625" style="118" customWidth="1"/>
    <col min="15638" max="15873" width="11.42578125" style="118"/>
    <col min="15874" max="15874" width="18.42578125" style="118" customWidth="1"/>
    <col min="15875" max="15875" width="10.85546875" style="118" customWidth="1"/>
    <col min="15876" max="15876" width="0.5703125" style="118" customWidth="1"/>
    <col min="15877" max="15881" width="13.28515625" style="118" customWidth="1"/>
    <col min="15882" max="15882" width="14" style="118" customWidth="1"/>
    <col min="15883" max="15884" width="13.28515625" style="118" customWidth="1"/>
    <col min="15885" max="15885" width="9" style="118" bestFit="1" customWidth="1"/>
    <col min="15886" max="15886" width="9.5703125" style="118" customWidth="1"/>
    <col min="15887" max="15887" width="8.28515625" style="118" customWidth="1"/>
    <col min="15888" max="15888" width="0" style="118" hidden="1" customWidth="1"/>
    <col min="15889" max="15889" width="4.42578125" style="118" bestFit="1" customWidth="1"/>
    <col min="15890" max="15891" width="4.7109375" style="118" customWidth="1"/>
    <col min="15892" max="15892" width="10.5703125" style="118" bestFit="1" customWidth="1"/>
    <col min="15893" max="15893" width="4.28515625" style="118" customWidth="1"/>
    <col min="15894" max="16129" width="11.42578125" style="118"/>
    <col min="16130" max="16130" width="18.42578125" style="118" customWidth="1"/>
    <col min="16131" max="16131" width="10.85546875" style="118" customWidth="1"/>
    <col min="16132" max="16132" width="0.5703125" style="118" customWidth="1"/>
    <col min="16133" max="16137" width="13.28515625" style="118" customWidth="1"/>
    <col min="16138" max="16138" width="14" style="118" customWidth="1"/>
    <col min="16139" max="16140" width="13.28515625" style="118" customWidth="1"/>
    <col min="16141" max="16141" width="9" style="118" bestFit="1" customWidth="1"/>
    <col min="16142" max="16142" width="9.5703125" style="118" customWidth="1"/>
    <col min="16143" max="16143" width="8.28515625" style="118" customWidth="1"/>
    <col min="16144" max="16144" width="0" style="118" hidden="1" customWidth="1"/>
    <col min="16145" max="16145" width="4.42578125" style="118" bestFit="1" customWidth="1"/>
    <col min="16146" max="16147" width="4.7109375" style="118" customWidth="1"/>
    <col min="16148" max="16148" width="10.5703125" style="118" bestFit="1" customWidth="1"/>
    <col min="16149" max="16149" width="4.28515625" style="118" customWidth="1"/>
    <col min="16150" max="16384" width="11.42578125" style="118"/>
  </cols>
  <sheetData>
    <row r="1" spans="1:21" s="113" customFormat="1" ht="15" customHeight="1" x14ac:dyDescent="0.2">
      <c r="A1" s="144" t="s">
        <v>24</v>
      </c>
      <c r="B1" s="5"/>
      <c r="C1" s="5"/>
      <c r="D1" s="160">
        <v>60085</v>
      </c>
      <c r="E1" s="366" t="e">
        <f>VLOOKUP(D1,#REF!,2,0)</f>
        <v>#REF!</v>
      </c>
      <c r="F1" s="366"/>
      <c r="G1" s="367"/>
      <c r="H1" s="6"/>
      <c r="I1" s="110" t="s">
        <v>0</v>
      </c>
      <c r="J1" s="6"/>
      <c r="K1" s="110" t="s">
        <v>25</v>
      </c>
      <c r="L1" s="145"/>
      <c r="M1" s="111" t="s">
        <v>26</v>
      </c>
      <c r="N1" s="157">
        <v>3</v>
      </c>
      <c r="O1" s="112">
        <v>2013</v>
      </c>
    </row>
    <row r="2" spans="1:21" s="113" customFormat="1" ht="15" customHeight="1" x14ac:dyDescent="0.2">
      <c r="A2" s="143"/>
      <c r="B2" s="5"/>
      <c r="C2" s="5"/>
      <c r="D2" s="428"/>
      <c r="E2" s="428"/>
      <c r="F2" s="428"/>
      <c r="G2" s="428"/>
      <c r="H2" s="8">
        <v>127</v>
      </c>
      <c r="I2" s="114" t="e">
        <f>VLOOKUP(D1,#REF!,8,0)</f>
        <v>#REF!</v>
      </c>
      <c r="J2" s="6"/>
      <c r="K2" s="115">
        <f>DATE(O1,N1+1,0)</f>
        <v>41364</v>
      </c>
      <c r="L2" s="146"/>
      <c r="M2" s="111" t="s">
        <v>4</v>
      </c>
      <c r="N2" s="158">
        <f>D17</f>
        <v>1</v>
      </c>
      <c r="O2" s="12"/>
      <c r="P2" s="116">
        <v>4</v>
      </c>
      <c r="U2" s="117"/>
    </row>
    <row r="3" spans="1:21" ht="12" customHeight="1" x14ac:dyDescent="0.2">
      <c r="A3" s="13"/>
      <c r="B3" s="13"/>
      <c r="C3" s="14"/>
      <c r="D3" s="13"/>
      <c r="E3" s="12"/>
      <c r="F3" s="12"/>
      <c r="G3" s="12"/>
      <c r="H3" s="12"/>
      <c r="I3" s="12"/>
      <c r="J3" s="12"/>
      <c r="K3" s="12"/>
      <c r="L3" s="87"/>
      <c r="M3" s="118"/>
      <c r="N3" s="118"/>
      <c r="O3" s="118"/>
      <c r="P3" s="116">
        <v>5</v>
      </c>
    </row>
    <row r="4" spans="1:21" ht="15" customHeight="1" x14ac:dyDescent="0.2">
      <c r="A4" s="13"/>
      <c r="B4" s="13"/>
      <c r="C4" s="14"/>
      <c r="D4" s="368" t="s">
        <v>27</v>
      </c>
      <c r="E4" s="369"/>
      <c r="F4" s="368" t="s">
        <v>28</v>
      </c>
      <c r="G4" s="369"/>
      <c r="H4" s="368" t="s">
        <v>29</v>
      </c>
      <c r="I4" s="369"/>
      <c r="J4" s="368" t="s">
        <v>30</v>
      </c>
      <c r="K4" s="369"/>
      <c r="L4" s="147"/>
      <c r="P4" s="116">
        <v>6</v>
      </c>
    </row>
    <row r="5" spans="1:21" ht="3.75" customHeight="1" thickBot="1" x14ac:dyDescent="0.25">
      <c r="A5" s="12"/>
      <c r="B5" s="12"/>
      <c r="C5" s="17"/>
      <c r="D5" s="12"/>
      <c r="E5" s="12"/>
      <c r="F5" s="12"/>
      <c r="G5" s="12"/>
      <c r="H5" s="12"/>
      <c r="I5" s="13"/>
      <c r="J5" s="12"/>
      <c r="K5" s="12"/>
      <c r="L5" s="87"/>
      <c r="P5" s="116">
        <v>7</v>
      </c>
    </row>
    <row r="6" spans="1:21" ht="24" customHeight="1" x14ac:dyDescent="0.2">
      <c r="A6" s="341" t="s">
        <v>31</v>
      </c>
      <c r="B6" s="342"/>
      <c r="C6" s="18"/>
      <c r="D6" s="421" t="e">
        <f>E17</f>
        <v>#REF!</v>
      </c>
      <c r="E6" s="422"/>
      <c r="F6" s="423" t="e">
        <f>F17</f>
        <v>#REF!</v>
      </c>
      <c r="G6" s="424"/>
      <c r="H6" s="425" t="e">
        <f>F18</f>
        <v>#REF!</v>
      </c>
      <c r="I6" s="424"/>
      <c r="J6" s="426" t="e">
        <f>G17</f>
        <v>#REF!</v>
      </c>
      <c r="K6" s="427"/>
      <c r="L6" s="148"/>
      <c r="N6" s="19"/>
      <c r="P6" s="116">
        <v>8</v>
      </c>
    </row>
    <row r="7" spans="1:21" ht="3.75" customHeight="1" x14ac:dyDescent="0.2">
      <c r="A7" s="21"/>
      <c r="B7" s="21"/>
      <c r="C7" s="18"/>
      <c r="D7" s="204"/>
      <c r="E7" s="205"/>
      <c r="F7" s="22"/>
      <c r="G7" s="23"/>
      <c r="H7" s="24"/>
      <c r="I7" s="24"/>
      <c r="J7" s="24"/>
      <c r="K7" s="24"/>
      <c r="L7" s="149"/>
      <c r="N7" s="19"/>
      <c r="P7" s="116">
        <v>9</v>
      </c>
    </row>
    <row r="8" spans="1:21" s="12" customFormat="1" ht="18" customHeight="1" x14ac:dyDescent="0.2">
      <c r="A8" s="341" t="s">
        <v>63</v>
      </c>
      <c r="B8" s="342"/>
      <c r="C8" s="18"/>
      <c r="D8" s="349" t="e">
        <f>VLOOKUP(D1,#REF!,2,0)</f>
        <v>#REF!</v>
      </c>
      <c r="E8" s="350"/>
      <c r="F8" s="203"/>
      <c r="G8" s="23"/>
      <c r="H8" s="24"/>
      <c r="I8" s="24"/>
      <c r="J8" s="24"/>
      <c r="K8" s="24"/>
      <c r="M8" s="19"/>
      <c r="S8" s="16"/>
    </row>
    <row r="9" spans="1:21" s="12" customFormat="1" ht="3" customHeight="1" x14ac:dyDescent="0.2">
      <c r="A9" s="21"/>
      <c r="B9" s="21"/>
      <c r="C9" s="18"/>
      <c r="D9" s="206"/>
      <c r="E9" s="207"/>
      <c r="F9" s="203"/>
      <c r="G9" s="23"/>
      <c r="H9" s="24"/>
      <c r="I9" s="24"/>
      <c r="J9" s="24"/>
      <c r="K9" s="24"/>
      <c r="M9" s="19"/>
      <c r="S9" s="16"/>
    </row>
    <row r="10" spans="1:21" s="12" customFormat="1" ht="18" customHeight="1" thickBot="1" x14ac:dyDescent="0.25">
      <c r="A10" s="341" t="s">
        <v>22</v>
      </c>
      <c r="B10" s="342"/>
      <c r="C10" s="18"/>
      <c r="D10" s="351" t="e">
        <f>VLOOKUP($D$1,#REF!,3,0)</f>
        <v>#REF!</v>
      </c>
      <c r="E10" s="352"/>
      <c r="F10" s="203"/>
      <c r="G10" s="23"/>
      <c r="H10" s="24"/>
      <c r="I10" s="24"/>
      <c r="J10" s="24"/>
      <c r="K10" s="24"/>
      <c r="M10" s="19"/>
      <c r="S10" s="16"/>
    </row>
    <row r="11" spans="1:21" ht="12.75" x14ac:dyDescent="0.2">
      <c r="A11" s="21"/>
      <c r="B11" s="21"/>
      <c r="C11" s="18"/>
      <c r="D11" s="429"/>
      <c r="E11" s="430"/>
      <c r="F11" s="430"/>
      <c r="G11" s="119"/>
      <c r="H11" s="368" t="s">
        <v>32</v>
      </c>
      <c r="I11" s="369"/>
      <c r="J11" s="368" t="s">
        <v>33</v>
      </c>
      <c r="K11" s="369"/>
      <c r="L11" s="147"/>
      <c r="N11" s="19"/>
      <c r="P11" s="116">
        <v>10</v>
      </c>
    </row>
    <row r="12" spans="1:21" s="120" customFormat="1" ht="3.75" customHeight="1" x14ac:dyDescent="0.2">
      <c r="A12" s="17"/>
      <c r="B12" s="17"/>
      <c r="C12" s="17"/>
      <c r="D12" s="14"/>
      <c r="E12" s="14"/>
      <c r="F12" s="48"/>
      <c r="G12" s="14"/>
      <c r="H12" s="26"/>
      <c r="I12" s="26"/>
      <c r="J12" s="25"/>
      <c r="K12" s="25"/>
      <c r="L12" s="150"/>
      <c r="M12" s="17"/>
      <c r="N12" s="17"/>
      <c r="O12" s="17"/>
      <c r="P12" s="116">
        <v>11</v>
      </c>
    </row>
    <row r="13" spans="1:21" ht="24" customHeight="1" x14ac:dyDescent="0.2">
      <c r="A13" s="412" t="s">
        <v>3</v>
      </c>
      <c r="B13" s="413"/>
      <c r="C13" s="27"/>
      <c r="D13" s="414" t="e">
        <f>E26</f>
        <v>#REF!</v>
      </c>
      <c r="E13" s="415"/>
      <c r="F13" s="121"/>
      <c r="H13" s="414" t="e">
        <f>F26</f>
        <v>#REF!</v>
      </c>
      <c r="I13" s="416"/>
      <c r="J13" s="417" t="e">
        <f>G26</f>
        <v>#REF!</v>
      </c>
      <c r="K13" s="418"/>
      <c r="L13" s="148"/>
      <c r="N13" s="28"/>
      <c r="P13" s="116">
        <v>12</v>
      </c>
    </row>
    <row r="14" spans="1:21" ht="12" customHeight="1" x14ac:dyDescent="0.2">
      <c r="A14" s="12"/>
      <c r="B14" s="12"/>
      <c r="C14" s="17"/>
      <c r="D14" s="12"/>
      <c r="E14" s="12"/>
      <c r="F14" s="12"/>
      <c r="G14" s="12"/>
      <c r="H14" s="12"/>
      <c r="I14" s="12"/>
      <c r="J14" s="12"/>
      <c r="K14" s="12"/>
      <c r="L14" s="87"/>
      <c r="P14" s="116">
        <v>1</v>
      </c>
    </row>
    <row r="15" spans="1:21" s="124" customFormat="1" ht="43.5" customHeight="1" x14ac:dyDescent="0.2">
      <c r="A15" s="419" t="s">
        <v>34</v>
      </c>
      <c r="B15" s="420"/>
      <c r="C15" s="18"/>
      <c r="D15" s="75" t="s">
        <v>35</v>
      </c>
      <c r="E15" s="76" t="s">
        <v>36</v>
      </c>
      <c r="F15" s="76" t="s">
        <v>37</v>
      </c>
      <c r="G15" s="77" t="s">
        <v>38</v>
      </c>
      <c r="H15" s="122" t="s">
        <v>39</v>
      </c>
      <c r="I15" s="123" t="s">
        <v>1</v>
      </c>
      <c r="J15" s="354" t="s">
        <v>40</v>
      </c>
      <c r="K15" s="355"/>
      <c r="L15" s="151"/>
      <c r="M15" s="13"/>
      <c r="N15" s="13"/>
      <c r="O15" s="13"/>
      <c r="P15" s="116">
        <v>2</v>
      </c>
    </row>
    <row r="16" spans="1:21" s="120" customFormat="1" ht="3.75" customHeight="1" x14ac:dyDescent="0.2">
      <c r="A16" s="17"/>
      <c r="B16" s="17"/>
      <c r="C16" s="17"/>
      <c r="D16" s="14"/>
      <c r="E16" s="14"/>
      <c r="F16" s="14"/>
      <c r="G16" s="14"/>
      <c r="H16" s="14"/>
      <c r="I16" s="14"/>
      <c r="J16" s="14"/>
      <c r="K16" s="14"/>
      <c r="L16" s="86"/>
      <c r="M16" s="17"/>
      <c r="N16" s="17"/>
      <c r="O16" s="17"/>
      <c r="P16" s="116">
        <v>3</v>
      </c>
    </row>
    <row r="17" spans="1:16" ht="13.5" customHeight="1" x14ac:dyDescent="0.2">
      <c r="A17" s="31" t="s">
        <v>41</v>
      </c>
      <c r="B17" s="32">
        <f>K2</f>
        <v>41364</v>
      </c>
      <c r="C17" s="18"/>
      <c r="D17" s="33">
        <f>VLOOKUP(N1,[1]Saisonalität!A2:D13,4,0)</f>
        <v>1</v>
      </c>
      <c r="E17" s="208" t="e">
        <f>VLOOKUP($D$1,#REF!,8,0)</f>
        <v>#REF!</v>
      </c>
      <c r="F17" s="209" t="e">
        <f>F18*D17</f>
        <v>#REF!</v>
      </c>
      <c r="G17" s="34" t="e">
        <f>E17/F17</f>
        <v>#REF!</v>
      </c>
      <c r="H17" s="213" t="e">
        <f>F17-E17</f>
        <v>#REF!</v>
      </c>
      <c r="I17" s="125" t="e">
        <f>IF(G17&lt;0.95,0,IF(G17&lt;1,0.04,IF(G17&lt;1.05,0.06,IF(G17&lt;1.1,0.08,IF(G17&gt;=1.1,0.1)))))</f>
        <v>#REF!</v>
      </c>
      <c r="J17" s="405" t="e">
        <f>I17*G17*F17</f>
        <v>#REF!</v>
      </c>
      <c r="K17" s="406"/>
      <c r="L17" s="152"/>
    </row>
    <row r="18" spans="1:16" ht="13.5" customHeight="1" x14ac:dyDescent="0.2">
      <c r="A18" s="37" t="s">
        <v>42</v>
      </c>
      <c r="B18" s="335">
        <v>41364</v>
      </c>
      <c r="C18" s="38"/>
      <c r="D18" s="338">
        <v>1</v>
      </c>
      <c r="E18" s="193" t="e">
        <f>F18*G18</f>
        <v>#REF!</v>
      </c>
      <c r="F18" s="358" t="e">
        <f>VLOOKUP($D$1,#REF!,7,0)</f>
        <v>#REF!</v>
      </c>
      <c r="G18" s="39" t="e">
        <f>G17</f>
        <v>#REF!</v>
      </c>
      <c r="H18" s="193" t="e">
        <f>F18-E18</f>
        <v>#REF!</v>
      </c>
      <c r="I18" s="126" t="e">
        <f>IF(G18&lt;0.95,0,IF(G18&lt;1,0.04,IF(G18&lt;1.05,0.06,IF(G18&lt;1.1,0.08,IF(G18&gt;=1.1,0.1)))))</f>
        <v>#REF!</v>
      </c>
      <c r="J18" s="407" t="e">
        <f>I18*G18*F18</f>
        <v>#REF!</v>
      </c>
      <c r="K18" s="402"/>
      <c r="L18" s="153"/>
      <c r="P18" s="127" t="s">
        <v>2</v>
      </c>
    </row>
    <row r="19" spans="1:16" ht="13.5" customHeight="1" x14ac:dyDescent="0.2">
      <c r="A19" s="40" t="s">
        <v>43</v>
      </c>
      <c r="B19" s="336"/>
      <c r="C19" s="14"/>
      <c r="D19" s="339"/>
      <c r="E19" s="210" t="e">
        <f>F18*G19</f>
        <v>#REF!</v>
      </c>
      <c r="F19" s="359"/>
      <c r="G19" s="41">
        <v>0.95</v>
      </c>
      <c r="H19" s="214" t="e">
        <f>F18-E19</f>
        <v>#REF!</v>
      </c>
      <c r="I19" s="128">
        <v>0.04</v>
      </c>
      <c r="J19" s="408" t="e">
        <f>I19*G19*F18</f>
        <v>#REF!</v>
      </c>
      <c r="K19" s="409"/>
      <c r="L19" s="153"/>
      <c r="P19" s="159">
        <v>60016</v>
      </c>
    </row>
    <row r="20" spans="1:16" ht="13.5" customHeight="1" x14ac:dyDescent="0.2">
      <c r="A20" s="40" t="s">
        <v>44</v>
      </c>
      <c r="B20" s="336"/>
      <c r="C20" s="14"/>
      <c r="D20" s="339"/>
      <c r="E20" s="211" t="e">
        <f>F18*G20</f>
        <v>#REF!</v>
      </c>
      <c r="F20" s="359"/>
      <c r="G20" s="44">
        <v>1</v>
      </c>
      <c r="H20" s="214" t="e">
        <f>F18-E20</f>
        <v>#REF!</v>
      </c>
      <c r="I20" s="129">
        <v>0.06</v>
      </c>
      <c r="J20" s="408" t="e">
        <f>I20*G20*F18</f>
        <v>#REF!</v>
      </c>
      <c r="K20" s="409"/>
      <c r="L20" s="153"/>
      <c r="P20" s="159">
        <v>60017</v>
      </c>
    </row>
    <row r="21" spans="1:16" ht="13.5" customHeight="1" x14ac:dyDescent="0.2">
      <c r="A21" s="40" t="s">
        <v>45</v>
      </c>
      <c r="B21" s="336"/>
      <c r="C21" s="14"/>
      <c r="D21" s="339"/>
      <c r="E21" s="211" t="e">
        <f>F18*G21</f>
        <v>#REF!</v>
      </c>
      <c r="F21" s="359"/>
      <c r="G21" s="44">
        <v>1.05</v>
      </c>
      <c r="H21" s="214" t="e">
        <f>F18-E21</f>
        <v>#REF!</v>
      </c>
      <c r="I21" s="129">
        <v>0.08</v>
      </c>
      <c r="J21" s="408" t="e">
        <f>I21*G21*F18</f>
        <v>#REF!</v>
      </c>
      <c r="K21" s="409"/>
      <c r="L21" s="153"/>
      <c r="P21" s="159">
        <v>60080</v>
      </c>
    </row>
    <row r="22" spans="1:16" ht="13.5" customHeight="1" x14ac:dyDescent="0.2">
      <c r="A22" s="45" t="s">
        <v>46</v>
      </c>
      <c r="B22" s="337"/>
      <c r="C22" s="14"/>
      <c r="D22" s="340"/>
      <c r="E22" s="212" t="e">
        <f>F18*G22</f>
        <v>#REF!</v>
      </c>
      <c r="F22" s="360"/>
      <c r="G22" s="46">
        <v>1.1000000000000001</v>
      </c>
      <c r="H22" s="215" t="e">
        <f>F18-E22</f>
        <v>#REF!</v>
      </c>
      <c r="I22" s="130">
        <v>0.1</v>
      </c>
      <c r="J22" s="410" t="e">
        <f>I22*G22*F18</f>
        <v>#REF!</v>
      </c>
      <c r="K22" s="411"/>
      <c r="L22" s="153"/>
      <c r="P22" s="159">
        <v>60085</v>
      </c>
    </row>
    <row r="23" spans="1:16" ht="9" customHeight="1" x14ac:dyDescent="0.2">
      <c r="A23" s="17"/>
      <c r="B23" s="14"/>
      <c r="C23" s="14"/>
      <c r="D23" s="47"/>
      <c r="E23" s="26"/>
      <c r="F23" s="26"/>
      <c r="G23" s="48"/>
      <c r="H23" s="26"/>
      <c r="I23" s="48"/>
      <c r="J23" s="49"/>
      <c r="K23" s="49"/>
      <c r="L23" s="154"/>
      <c r="P23" s="159">
        <v>60104</v>
      </c>
    </row>
    <row r="24" spans="1:16" ht="34.5" customHeight="1" x14ac:dyDescent="0.2">
      <c r="A24" s="395" t="s">
        <v>47</v>
      </c>
      <c r="B24" s="396"/>
      <c r="C24" s="18"/>
      <c r="D24" s="50"/>
      <c r="E24" s="76" t="s">
        <v>48</v>
      </c>
      <c r="F24" s="76" t="s">
        <v>49</v>
      </c>
      <c r="G24" s="77" t="s">
        <v>50</v>
      </c>
      <c r="H24" s="122" t="s">
        <v>39</v>
      </c>
      <c r="I24" s="77" t="s">
        <v>1</v>
      </c>
      <c r="J24" s="354" t="s">
        <v>40</v>
      </c>
      <c r="K24" s="355"/>
      <c r="L24" s="151"/>
      <c r="P24" s="159">
        <v>60261</v>
      </c>
    </row>
    <row r="25" spans="1:16" s="120" customFormat="1" ht="3.75" customHeight="1" x14ac:dyDescent="0.2">
      <c r="A25" s="17"/>
      <c r="B25" s="17"/>
      <c r="C25" s="17"/>
      <c r="D25" s="14"/>
      <c r="E25" s="14"/>
      <c r="F25" s="14"/>
      <c r="G25" s="14"/>
      <c r="H25" s="14"/>
      <c r="I25" s="14"/>
      <c r="J25" s="14"/>
      <c r="K25" s="14"/>
      <c r="L25" s="86"/>
      <c r="M25" s="17"/>
      <c r="N25" s="17"/>
      <c r="O25" s="17"/>
      <c r="P25" s="159">
        <v>60715</v>
      </c>
    </row>
    <row r="26" spans="1:16" ht="13.5" customHeight="1" x14ac:dyDescent="0.2">
      <c r="A26" s="51" t="s">
        <v>41</v>
      </c>
      <c r="B26" s="32">
        <f>K2</f>
        <v>41364</v>
      </c>
      <c r="C26" s="18"/>
      <c r="D26" s="52"/>
      <c r="E26" s="216" t="e">
        <f>VLOOKUP($D$1,#REF!,7,0)</f>
        <v>#REF!</v>
      </c>
      <c r="F26" s="217" t="e">
        <f>INDEX(#REF!,MATCH(D1,#REF!,0),MATCH('Tableau de bord direkt HDL'!N1,#REF!,0))</f>
        <v>#REF!</v>
      </c>
      <c r="G26" s="131" t="e">
        <f>(E26-F26)/F26</f>
        <v>#REF!</v>
      </c>
      <c r="H26" s="81"/>
      <c r="I26" s="132" t="e">
        <f>IF(G26&lt;0.025,0,IF(G26&lt;0.05,0.0025,IF(G26&lt;0.075,0.005,IF(G26&lt;0.1,0.0075,IF(G26&gt;=0.1,0.0125)))))</f>
        <v>#REF!</v>
      </c>
      <c r="J26" s="397" t="e">
        <f t="shared" ref="J26:J31" si="0">I26*E26</f>
        <v>#REF!</v>
      </c>
      <c r="K26" s="398"/>
      <c r="L26" s="152"/>
      <c r="P26" s="101"/>
    </row>
    <row r="27" spans="1:16" ht="13.5" customHeight="1" x14ac:dyDescent="0.2">
      <c r="A27" s="133" t="s">
        <v>42</v>
      </c>
      <c r="B27" s="335">
        <v>41364</v>
      </c>
      <c r="C27" s="38"/>
      <c r="D27" s="353"/>
      <c r="E27" s="218" t="e">
        <f>F27*(1+G27)</f>
        <v>#REF!</v>
      </c>
      <c r="F27" s="385" t="e">
        <f>VLOOKUP(D1,#REF!,13,0)</f>
        <v>#REF!</v>
      </c>
      <c r="G27" s="134" t="e">
        <f>G26</f>
        <v>#REF!</v>
      </c>
      <c r="H27" s="221" t="e">
        <f>F27-E27</f>
        <v>#REF!</v>
      </c>
      <c r="I27" s="135" t="e">
        <f>I26</f>
        <v>#REF!</v>
      </c>
      <c r="J27" s="401" t="e">
        <f t="shared" si="0"/>
        <v>#REF!</v>
      </c>
      <c r="K27" s="402"/>
      <c r="L27" s="153"/>
      <c r="P27" s="101"/>
    </row>
    <row r="28" spans="1:16" ht="13.5" customHeight="1" x14ac:dyDescent="0.2">
      <c r="A28" s="40" t="s">
        <v>51</v>
      </c>
      <c r="B28" s="399"/>
      <c r="C28" s="38"/>
      <c r="D28" s="353"/>
      <c r="E28" s="219" t="e">
        <f>F27*(1+G28)</f>
        <v>#REF!</v>
      </c>
      <c r="F28" s="386"/>
      <c r="G28" s="56">
        <v>2.5000000000000001E-2</v>
      </c>
      <c r="H28" s="222" t="e">
        <f>F27-E28</f>
        <v>#REF!</v>
      </c>
      <c r="I28" s="136">
        <v>2.5000000000000001E-3</v>
      </c>
      <c r="J28" s="403" t="e">
        <f t="shared" si="0"/>
        <v>#REF!</v>
      </c>
      <c r="K28" s="404"/>
      <c r="L28" s="153"/>
      <c r="N28" s="57"/>
      <c r="P28" s="101"/>
    </row>
    <row r="29" spans="1:16" ht="13.5" customHeight="1" x14ac:dyDescent="0.2">
      <c r="A29" s="58" t="s">
        <v>52</v>
      </c>
      <c r="B29" s="399"/>
      <c r="C29" s="38"/>
      <c r="D29" s="353"/>
      <c r="E29" s="219" t="e">
        <f>F27*(1+G29)</f>
        <v>#REF!</v>
      </c>
      <c r="F29" s="386"/>
      <c r="G29" s="56">
        <v>0.05</v>
      </c>
      <c r="H29" s="222" t="e">
        <f>F27-E29</f>
        <v>#REF!</v>
      </c>
      <c r="I29" s="136">
        <v>5.0000000000000001E-3</v>
      </c>
      <c r="J29" s="403" t="e">
        <f t="shared" si="0"/>
        <v>#REF!</v>
      </c>
      <c r="K29" s="404"/>
      <c r="L29" s="153"/>
      <c r="N29" s="57"/>
      <c r="P29" s="101"/>
    </row>
    <row r="30" spans="1:16" ht="13.5" customHeight="1" x14ac:dyDescent="0.2">
      <c r="A30" s="58" t="s">
        <v>53</v>
      </c>
      <c r="B30" s="399"/>
      <c r="C30" s="38"/>
      <c r="D30" s="353"/>
      <c r="E30" s="219" t="e">
        <f>F27*(1+G30)</f>
        <v>#REF!</v>
      </c>
      <c r="F30" s="386"/>
      <c r="G30" s="56">
        <v>7.4999999999999997E-2</v>
      </c>
      <c r="H30" s="222" t="e">
        <f>F27-E30</f>
        <v>#REF!</v>
      </c>
      <c r="I30" s="136">
        <v>7.4999999999999997E-3</v>
      </c>
      <c r="J30" s="403" t="e">
        <f t="shared" si="0"/>
        <v>#REF!</v>
      </c>
      <c r="K30" s="404"/>
      <c r="L30" s="153"/>
      <c r="N30" s="57"/>
      <c r="P30" s="101"/>
    </row>
    <row r="31" spans="1:16" ht="13.5" customHeight="1" x14ac:dyDescent="0.2">
      <c r="A31" s="45" t="s">
        <v>54</v>
      </c>
      <c r="B31" s="400"/>
      <c r="C31" s="38"/>
      <c r="D31" s="353"/>
      <c r="E31" s="220" t="e">
        <f>F27*(1+G31)</f>
        <v>#REF!</v>
      </c>
      <c r="F31" s="387"/>
      <c r="G31" s="59">
        <v>0.1</v>
      </c>
      <c r="H31" s="223" t="e">
        <f>F27-E31</f>
        <v>#REF!</v>
      </c>
      <c r="I31" s="137">
        <v>1.2500000000000001E-2</v>
      </c>
      <c r="J31" s="393" t="e">
        <f t="shared" si="0"/>
        <v>#REF!</v>
      </c>
      <c r="K31" s="394"/>
      <c r="L31" s="153"/>
      <c r="N31" s="57"/>
      <c r="P31" s="101"/>
    </row>
    <row r="32" spans="1:16" ht="12.75" x14ac:dyDescent="0.2">
      <c r="B32" s="138"/>
      <c r="C32" s="138"/>
      <c r="D32" s="139"/>
      <c r="E32" s="140"/>
      <c r="F32" s="140"/>
      <c r="G32" s="141"/>
      <c r="H32" s="140"/>
      <c r="I32" s="141"/>
      <c r="J32" s="142"/>
      <c r="K32" s="142"/>
      <c r="L32" s="155"/>
      <c r="P32" s="101"/>
    </row>
    <row r="33" spans="1:16" ht="12.75" customHeight="1" x14ac:dyDescent="0.2">
      <c r="A33" s="119" t="s">
        <v>55</v>
      </c>
      <c r="P33" s="101"/>
    </row>
  </sheetData>
  <mergeCells count="44">
    <mergeCell ref="A8:B8"/>
    <mergeCell ref="D8:E8"/>
    <mergeCell ref="A10:B10"/>
    <mergeCell ref="D10:E10"/>
    <mergeCell ref="D11:F11"/>
    <mergeCell ref="H11:I11"/>
    <mergeCell ref="J11:K11"/>
    <mergeCell ref="E1:G1"/>
    <mergeCell ref="D2:G2"/>
    <mergeCell ref="D4:E4"/>
    <mergeCell ref="F4:G4"/>
    <mergeCell ref="H4:I4"/>
    <mergeCell ref="J4:K4"/>
    <mergeCell ref="A6:B6"/>
    <mergeCell ref="D6:E6"/>
    <mergeCell ref="F6:G6"/>
    <mergeCell ref="H6:I6"/>
    <mergeCell ref="J6:K6"/>
    <mergeCell ref="A13:B13"/>
    <mergeCell ref="D13:E13"/>
    <mergeCell ref="H13:I13"/>
    <mergeCell ref="J13:K13"/>
    <mergeCell ref="A15:B15"/>
    <mergeCell ref="J15:K15"/>
    <mergeCell ref="J17:K17"/>
    <mergeCell ref="B18:B22"/>
    <mergeCell ref="D18:D22"/>
    <mergeCell ref="F18:F22"/>
    <mergeCell ref="J18:K18"/>
    <mergeCell ref="J19:K19"/>
    <mergeCell ref="J20:K20"/>
    <mergeCell ref="J21:K21"/>
    <mergeCell ref="J22:K22"/>
    <mergeCell ref="J31:K31"/>
    <mergeCell ref="A24:B24"/>
    <mergeCell ref="J24:K24"/>
    <mergeCell ref="J26:K26"/>
    <mergeCell ref="B27:B31"/>
    <mergeCell ref="D27:D31"/>
    <mergeCell ref="F27:F31"/>
    <mergeCell ref="J27:K27"/>
    <mergeCell ref="J28:K28"/>
    <mergeCell ref="J29:K29"/>
    <mergeCell ref="J30:K30"/>
  </mergeCells>
  <conditionalFormatting sqref="H17:H22 H26:H31">
    <cfRule type="cellIs" dxfId="82" priority="1" stopIfTrue="1" operator="lessThanOrEqual">
      <formula>0</formula>
    </cfRule>
    <cfRule type="cellIs" dxfId="81" priority="2" stopIfTrue="1" operator="greaterThan">
      <formula>0</formula>
    </cfRule>
  </conditionalFormatting>
  <dataValidations disablePrompts="1" count="3">
    <dataValidation type="list" allowBlank="1" showInputMessage="1" showErrorMessage="1" sqref="D1">
      <formula1>$P$19:$P$25</formula1>
    </dataValidation>
    <dataValidation type="list" allowBlank="1" showInputMessage="1" showErrorMessage="1" sqref="JA1 SW1 ACS1 AMO1 AWK1 BGG1 BQC1 BZY1 CJU1 CTQ1 DDM1 DNI1 DXE1 EHA1 EQW1 FAS1 FKO1 FUK1 GEG1 GOC1 GXY1 HHU1 HRQ1 IBM1 ILI1 IVE1 JFA1 JOW1 JYS1 KIO1 KSK1 LCG1 LMC1 LVY1 MFU1 MPQ1 MZM1 NJI1 NTE1 ODA1 OMW1 OWS1 PGO1 PQK1 QAG1 QKC1 QTY1 RDU1 RNQ1 RXM1 SHI1 SRE1 TBA1 TKW1 TUS1 UEO1 UOK1 UYG1 VIC1 VRY1 WBU1 WLQ1 WVM1">
      <formula1>$P$19:$P$33</formula1>
    </dataValidation>
    <dataValidation type="list" allowBlank="1" showInputMessage="1" showErrorMessage="1" sqref="N1 WVV1 WLZ1 WCD1 VSH1 VIL1 UYP1 UOT1 UEX1 TVB1 TLF1 TBJ1 SRN1 SHR1 RXV1 RNZ1 RED1 QUH1 QKL1 QAP1 PQT1 PGX1 OXB1 ONF1 ODJ1 NTN1 NJR1 MZV1 MPZ1 MGD1 LWH1 LML1 LCP1 KST1 KIX1 JZB1 JPF1 JFJ1 IVN1 ILR1 IBV1 HRZ1 HID1 GYH1 GOL1 GEP1 FUT1 FKX1 FBB1 ERF1 EHJ1 DXN1 DNR1 DDV1 CTZ1 CKD1 CAH1 BQL1 BGP1 AWT1 AMX1 ADB1 TF1 JJ1">
      <formula1>$P$2:$P$16</formula1>
    </dataValidation>
  </dataValidations>
  <printOptions horizontalCentered="1" verticalCentered="1"/>
  <pageMargins left="0.23622047244094491" right="0.23622047244094491" top="1.1811023622047245" bottom="0.74803149606299213" header="0" footer="0.31496062992125984"/>
  <pageSetup paperSize="9" scale="98" orientation="landscape" horizontalDpi="1200" verticalDpi="1200" r:id="rId1"/>
  <headerFooter>
    <oddHeader>&amp;L&amp;G&amp;R&amp;"NissanAG-Bold,Normal"NISSAN AFTERSALES</oddHeader>
  </headerFooter>
  <legacyDrawingHF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D352"/>
  <sheetViews>
    <sheetView showGridLines="0" tabSelected="1" topLeftCell="A295" zoomScale="90" zoomScaleNormal="90" workbookViewId="0">
      <selection activeCell="I287" sqref="I287:I318"/>
    </sheetView>
  </sheetViews>
  <sheetFormatPr baseColWidth="10" defaultRowHeight="12.75" x14ac:dyDescent="0.2"/>
  <cols>
    <col min="1" max="1" width="8.85546875" style="1" customWidth="1"/>
    <col min="2" max="2" width="6.42578125" style="1" customWidth="1"/>
    <col min="3" max="3" width="16.7109375" style="1" customWidth="1"/>
    <col min="4" max="4" width="16.85546875" style="1" customWidth="1"/>
    <col min="5" max="5" width="13.28515625" style="1" customWidth="1"/>
    <col min="6" max="6" width="17" style="1" customWidth="1"/>
    <col min="7" max="7" width="13.85546875" style="1" customWidth="1"/>
    <col min="8" max="8" width="0.7109375" style="280" customWidth="1"/>
    <col min="9" max="9" width="23" style="1" bestFit="1" customWidth="1"/>
    <col min="10" max="10" width="12.28515625" style="1" customWidth="1"/>
    <col min="11" max="11" width="11" style="277" bestFit="1" customWidth="1"/>
    <col min="12" max="12" width="1.85546875" style="277" customWidth="1"/>
    <col min="13" max="13" width="19.5703125" style="277" bestFit="1" customWidth="1"/>
    <col min="14" max="14" width="11.42578125" style="1" customWidth="1"/>
    <col min="15" max="15" width="12.85546875" style="1" bestFit="1" customWidth="1"/>
    <col min="16" max="16" width="1" style="1" customWidth="1"/>
    <col min="17" max="19" width="11.42578125" style="1"/>
    <col min="20" max="20" width="13.85546875" style="1" bestFit="1" customWidth="1"/>
    <col min="21" max="16384" width="11.42578125" style="1"/>
  </cols>
  <sheetData>
    <row r="1" spans="1:30" ht="20.25" customHeight="1" x14ac:dyDescent="0.2">
      <c r="A1" s="455" t="str">
        <f>IF(V1="F","Statistiques de vente et bonus","Umsatz- und Bonusreport")</f>
        <v>Statistiques de vente et bonus</v>
      </c>
      <c r="B1" s="455"/>
      <c r="C1" s="455"/>
      <c r="D1" s="455"/>
      <c r="E1" s="455"/>
      <c r="F1" s="455"/>
      <c r="G1" s="455"/>
      <c r="H1" s="279"/>
      <c r="I1" s="444" t="str">
        <f>IF(V1="F","CA FY12: selon saiso. actuelle","Umsatz FY12 laut aktuelle Saisonnalität")</f>
        <v>CA FY12: selon saiso. actuelle</v>
      </c>
      <c r="J1" s="444"/>
      <c r="K1" s="444"/>
      <c r="L1" s="444"/>
      <c r="M1" s="444"/>
      <c r="N1" s="444"/>
      <c r="O1" s="444"/>
      <c r="U1" s="1" t="s">
        <v>64</v>
      </c>
      <c r="V1" s="1" t="str">
        <f>VLOOKUP(C9,'RL Ziele'!A:G,7,0)</f>
        <v>F</v>
      </c>
      <c r="AC1" s="236">
        <v>19</v>
      </c>
      <c r="AD1" s="1">
        <v>4</v>
      </c>
    </row>
    <row r="2" spans="1:30" x14ac:dyDescent="0.2">
      <c r="AC2" s="236">
        <v>32</v>
      </c>
      <c r="AD2" s="1">
        <v>5</v>
      </c>
    </row>
    <row r="3" spans="1:30" x14ac:dyDescent="0.2">
      <c r="I3" s="445" t="str">
        <f>IF(V1="F","Evolution pièces concurrencées","Entwicklung kon. Teile")</f>
        <v>Evolution pièces concurrencées</v>
      </c>
      <c r="J3" s="445"/>
      <c r="K3" s="445"/>
      <c r="L3" s="285"/>
      <c r="M3" s="445" t="str">
        <f>IF(V1="F","Evolution accessoires","Entwicklung Zubehör")</f>
        <v>Evolution accessoires</v>
      </c>
      <c r="N3" s="445"/>
      <c r="O3" s="445"/>
      <c r="P3" s="277"/>
      <c r="Q3" s="277"/>
      <c r="T3" s="10" t="s">
        <v>5</v>
      </c>
      <c r="U3" s="10">
        <v>4</v>
      </c>
      <c r="V3" s="11" t="e">
        <f>VLOOKUP(U3,#REF!,2,0)</f>
        <v>#REF!</v>
      </c>
      <c r="AC3" s="236">
        <v>40</v>
      </c>
      <c r="AD3" s="1">
        <v>6</v>
      </c>
    </row>
    <row r="4" spans="1:30" ht="14.25" customHeight="1" x14ac:dyDescent="0.25">
      <c r="B4" s="237"/>
      <c r="C4" s="237"/>
      <c r="D4" s="237"/>
      <c r="F4" s="447" t="str">
        <f>IF(V1="F","Dernière facturation:","Letzte Fakturation:")</f>
        <v>Dernière facturation:</v>
      </c>
      <c r="G4" s="448"/>
      <c r="H4" s="281"/>
      <c r="I4" s="286" t="s">
        <v>66</v>
      </c>
      <c r="J4" s="287" t="s">
        <v>67</v>
      </c>
      <c r="K4" s="287" t="s">
        <v>68</v>
      </c>
      <c r="L4" s="287"/>
      <c r="M4" s="286" t="s">
        <v>66</v>
      </c>
      <c r="N4" s="287" t="s">
        <v>67</v>
      </c>
      <c r="O4" s="287" t="s">
        <v>68</v>
      </c>
      <c r="T4" s="10" t="s">
        <v>72</v>
      </c>
      <c r="U4" s="15" t="e">
        <f>VLOOKUP(U3,#REF!,4,0)</f>
        <v>#REF!</v>
      </c>
      <c r="V4" s="12"/>
      <c r="AC4" s="236">
        <v>263</v>
      </c>
      <c r="AD4" s="1">
        <v>7</v>
      </c>
    </row>
    <row r="5" spans="1:30" x14ac:dyDescent="0.2">
      <c r="F5" s="449" t="e">
        <f>DATE(V3,U3,EOMONTH(U3,0)-1)</f>
        <v>#REF!</v>
      </c>
      <c r="G5" s="450"/>
      <c r="H5" s="282"/>
      <c r="I5" s="288" t="e">
        <f>IF(V1="F",#REF!,#REF!)</f>
        <v>#REF!</v>
      </c>
      <c r="J5"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5"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5" s="289"/>
      <c r="M5" s="288" t="e">
        <f>IF(V1="F",#REF!,#REF!)</f>
        <v>#REF!</v>
      </c>
      <c r="N5"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5" s="289" t="str">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
      </c>
      <c r="T5" s="10" t="s">
        <v>70</v>
      </c>
      <c r="U5" s="15" t="e">
        <f>VLOOKUP(U3,#REF!,4,0)</f>
        <v>#REF!</v>
      </c>
      <c r="AC5" s="236">
        <v>305</v>
      </c>
      <c r="AD5" s="1">
        <v>8</v>
      </c>
    </row>
    <row r="6" spans="1:30" x14ac:dyDescent="0.2">
      <c r="A6" s="238"/>
      <c r="B6" s="239"/>
      <c r="C6" s="239"/>
      <c r="D6" s="239"/>
      <c r="E6" s="239"/>
      <c r="F6" s="239"/>
      <c r="G6" s="240"/>
      <c r="H6" s="283"/>
      <c r="I6" s="288" t="e">
        <f>IF(V1="F",#REF!,#REF!)</f>
        <v>#REF!</v>
      </c>
      <c r="J6"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6"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6" s="289"/>
      <c r="M6" s="288" t="e">
        <f>IF(V1="F",#REF!,#REF!)</f>
        <v>#REF!</v>
      </c>
      <c r="N6"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6" s="289" t="str">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
      </c>
      <c r="T6" s="10" t="s">
        <v>71</v>
      </c>
      <c r="U6" s="15" t="e">
        <f>VLOOKUP(U3,#REF!,4,0)</f>
        <v>#REF!</v>
      </c>
      <c r="AC6" s="236">
        <v>453</v>
      </c>
      <c r="AD6" s="1">
        <v>9</v>
      </c>
    </row>
    <row r="7" spans="1:30" x14ac:dyDescent="0.2">
      <c r="A7" s="241" t="str">
        <f>IF(V1="F","Nom","Name")</f>
        <v>Nom</v>
      </c>
      <c r="B7" s="242"/>
      <c r="C7" s="248" t="str">
        <f>VLOOKUP(C9,'RL Ziele'!A:F,6,0)</f>
        <v>Client 8</v>
      </c>
      <c r="D7" s="84"/>
      <c r="E7" s="84"/>
      <c r="F7" s="242"/>
      <c r="G7" s="243"/>
      <c r="H7" s="283"/>
      <c r="I7" s="288" t="e">
        <f>IF(V1="F",#REF!,#REF!)</f>
        <v>#REF!</v>
      </c>
      <c r="J7"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7"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7" s="289"/>
      <c r="M7" s="288" t="e">
        <f>IF(V1="F",#REF!,#REF!)</f>
        <v>#REF!</v>
      </c>
      <c r="N7"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7" s="289" t="str">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
      </c>
      <c r="AC7" s="236">
        <v>459</v>
      </c>
      <c r="AD7" s="1">
        <v>10</v>
      </c>
    </row>
    <row r="8" spans="1:30" ht="12.75" customHeight="1" x14ac:dyDescent="0.2">
      <c r="A8" s="241"/>
      <c r="B8" s="242"/>
      <c r="C8" s="249"/>
      <c r="D8" s="244"/>
      <c r="E8" s="244"/>
      <c r="F8" s="244"/>
      <c r="G8" s="243"/>
      <c r="H8" s="283"/>
      <c r="I8" s="288" t="e">
        <f>IF(V1="F",#REF!,#REF!)</f>
        <v>#REF!</v>
      </c>
      <c r="J8"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8"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8" s="289"/>
      <c r="M8" s="288" t="e">
        <f>IF(V1="F",#REF!,#REF!)</f>
        <v>#REF!</v>
      </c>
      <c r="N8"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8" s="289" t="str">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
      </c>
      <c r="R8" s="325"/>
      <c r="AC8" s="236">
        <v>487</v>
      </c>
      <c r="AD8" s="1">
        <v>11</v>
      </c>
    </row>
    <row r="9" spans="1:30" x14ac:dyDescent="0.2">
      <c r="A9" s="241" t="str">
        <f>IF(V1="F","N° dépôt","Regionallagernr.")</f>
        <v>N° dépôt</v>
      </c>
      <c r="B9" s="242"/>
      <c r="C9" s="248">
        <v>459</v>
      </c>
      <c r="D9" s="84"/>
      <c r="E9" s="84"/>
      <c r="F9" s="242"/>
      <c r="G9" s="243"/>
      <c r="H9" s="283"/>
      <c r="I9" s="288" t="e">
        <f>IF(V1="F",#REF!,#REF!)</f>
        <v>#REF!</v>
      </c>
      <c r="J9"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9"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9" s="289"/>
      <c r="M9" s="288" t="e">
        <f>IF(V1="F",#REF!,#REF!)</f>
        <v>#REF!</v>
      </c>
      <c r="N9"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9" s="289" t="str">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
      </c>
      <c r="T9" s="1">
        <f>C9+60000</f>
        <v>60459</v>
      </c>
      <c r="AC9" s="236">
        <v>497</v>
      </c>
      <c r="AD9" s="1">
        <v>12</v>
      </c>
    </row>
    <row r="10" spans="1:30" x14ac:dyDescent="0.2">
      <c r="A10" s="245"/>
      <c r="B10" s="246"/>
      <c r="C10" s="246"/>
      <c r="D10" s="246"/>
      <c r="E10" s="246"/>
      <c r="F10" s="246"/>
      <c r="G10" s="247"/>
      <c r="H10" s="283"/>
      <c r="I10" s="288" t="e">
        <f>IF(V1="F",#REF!,#REF!)</f>
        <v>#REF!</v>
      </c>
      <c r="J10"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10"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10" s="289"/>
      <c r="M10" s="288" t="e">
        <f>IF(V1="F",#REF!,#REF!)</f>
        <v>#REF!</v>
      </c>
      <c r="N10"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10" s="289" t="str">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
      </c>
      <c r="AC10" s="236">
        <v>499</v>
      </c>
      <c r="AD10" s="1">
        <v>1</v>
      </c>
    </row>
    <row r="11" spans="1:30" x14ac:dyDescent="0.2">
      <c r="I11" s="288" t="e">
        <f>IF(V1="F",#REF!,#REF!)</f>
        <v>#REF!</v>
      </c>
      <c r="J11"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11"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11" s="289"/>
      <c r="M11" s="288" t="e">
        <f>IF(V1="F",#REF!,#REF!)</f>
        <v>#REF!</v>
      </c>
      <c r="N11"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11" s="289" t="str">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
      </c>
      <c r="AC11" s="236">
        <v>541</v>
      </c>
      <c r="AD11" s="1">
        <v>2</v>
      </c>
    </row>
    <row r="12" spans="1:30" x14ac:dyDescent="0.2">
      <c r="A12" s="446" t="str">
        <f>IF($V$1="F","Synthèse","Übersicht")</f>
        <v>Synthèse</v>
      </c>
      <c r="B12" s="446"/>
      <c r="C12" s="446"/>
      <c r="F12" s="295"/>
      <c r="G12" s="296" t="s">
        <v>4</v>
      </c>
      <c r="H12" s="284"/>
      <c r="I12" s="288" t="e">
        <f>IF(V1="F",#REF!,#REF!)</f>
        <v>#REF!</v>
      </c>
      <c r="J12"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12"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12" s="289"/>
      <c r="M12" s="288" t="e">
        <f>IF(V1="F",#REF!,#REF!)</f>
        <v>#REF!</v>
      </c>
      <c r="N12"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12" s="289" t="str">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
      </c>
      <c r="AC12" s="236">
        <v>629</v>
      </c>
      <c r="AD12" s="1">
        <v>3</v>
      </c>
    </row>
    <row r="13" spans="1:30" ht="12.75" customHeight="1" x14ac:dyDescent="0.2">
      <c r="A13" s="267"/>
      <c r="B13" s="264"/>
      <c r="C13" s="268" t="str">
        <f>IF(V1="F","Réalisation","Realisiert")</f>
        <v>Réalisation</v>
      </c>
      <c r="D13" s="269" t="str">
        <f>IF(V1="F","Objectif saiso.","Ziel Saiso.")</f>
        <v>Objectif saiso.</v>
      </c>
      <c r="E13" s="269" t="str">
        <f>IF(V1="F","Atteinte","Erreichung")</f>
        <v>Atteinte</v>
      </c>
      <c r="F13" s="264"/>
      <c r="G13" s="326"/>
      <c r="H13" s="283"/>
      <c r="I13" s="288" t="e">
        <f>IF(V1="F",#REF!,#REF!)</f>
        <v>#REF!</v>
      </c>
      <c r="J13"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13"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13" s="289"/>
      <c r="M13" s="288" t="e">
        <f>IF(V1="F",#REF!,#REF!)</f>
        <v>#REF!</v>
      </c>
      <c r="N13"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13" s="289" t="str">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
      </c>
      <c r="AC13" s="236">
        <v>712</v>
      </c>
    </row>
    <row r="14" spans="1:30" x14ac:dyDescent="0.2">
      <c r="A14" s="270" t="str">
        <f>IF(V1="F","Pièces conc.","Konk. Teile")</f>
        <v>Pièces conc.</v>
      </c>
      <c r="B14" s="265"/>
      <c r="C14" s="253">
        <f>D26</f>
        <v>0</v>
      </c>
      <c r="D14" s="254" t="e">
        <f>IF((VLOOKUP($C$9,'RL Ziele'!$A$2:$G$15,2,0))*$U$4=0,"",(VLOOKUP($C$9,'RL Ziele'!$A$2:$G$15,2,0))*$U$4)</f>
        <v>#REF!</v>
      </c>
      <c r="E14" s="322" t="str">
        <f>IF(ISERROR(C14/D14),"",(C14/D14))</f>
        <v/>
      </c>
      <c r="F14" s="265"/>
      <c r="G14" s="327" t="e">
        <f>$U$4</f>
        <v>#REF!</v>
      </c>
      <c r="H14" s="283"/>
      <c r="I14" s="288" t="e">
        <f>IF(V1="F",#REF!,#REF!)</f>
        <v>#REF!</v>
      </c>
      <c r="J14"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14"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14" s="289"/>
      <c r="M14" s="288" t="e">
        <f>IF(V1="F",#REF!,#REF!)</f>
        <v>#REF!</v>
      </c>
      <c r="N14"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14" s="289" t="str">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
      </c>
      <c r="AC14" s="236">
        <v>954</v>
      </c>
    </row>
    <row r="15" spans="1:30" x14ac:dyDescent="0.2">
      <c r="A15" s="270" t="str">
        <f>IF(V1="F","Accessoires","Zubehör")</f>
        <v>Accessoires</v>
      </c>
      <c r="B15" s="265"/>
      <c r="C15" s="255">
        <f>D34</f>
        <v>0</v>
      </c>
      <c r="D15" s="254" t="e">
        <f>IF((VLOOKUP($C$9,'RL Ziele'!$A$2:$G$15,3,0))*$U$5=0,"",(VLOOKUP($C$9,'RL Ziele'!$A$2:$G$15,3,0))*$U$5)</f>
        <v>#REF!</v>
      </c>
      <c r="E15" s="323" t="str">
        <f>IF(ISERROR(C15/D15),"",(C15/D15))</f>
        <v/>
      </c>
      <c r="F15" s="265"/>
      <c r="G15" s="327" t="e">
        <f>$U$5</f>
        <v>#REF!</v>
      </c>
      <c r="H15" s="283"/>
      <c r="I15" s="288" t="e">
        <f>IF(V1="F",#REF!,#REF!)</f>
        <v>#REF!</v>
      </c>
      <c r="J15"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15"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15" s="289"/>
      <c r="M15" s="288" t="e">
        <f>IF(V1="F",#REF!,#REF!)</f>
        <v>#REF!</v>
      </c>
      <c r="N15"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15" s="289" t="str">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
      </c>
    </row>
    <row r="16" spans="1:30" x14ac:dyDescent="0.2">
      <c r="A16" s="270" t="str">
        <f>IF(V1="F","Roues","Räder")</f>
        <v>Roues</v>
      </c>
      <c r="B16" s="297" t="s">
        <v>73</v>
      </c>
      <c r="C16" s="257" t="str">
        <f>D42</f>
        <v/>
      </c>
      <c r="D16" s="294" t="str">
        <f>IF(VLOOKUP($C$9,'RL Ziele'!$A$2:$G$15,4,0)=0,"",VLOOKUP($C$9,'RL Ziele'!$A$2:$G$15,4,0))</f>
        <v/>
      </c>
      <c r="E16" s="323" t="str">
        <f>IF(ISERROR(C16/D16),"",(C16/D16))</f>
        <v/>
      </c>
      <c r="F16" s="265"/>
      <c r="G16" s="327"/>
      <c r="H16" s="283"/>
      <c r="I16" s="288" t="e">
        <f>IF(V1="F",#REF!,#REF!)</f>
        <v>#REF!</v>
      </c>
      <c r="J16"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16"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16" s="289"/>
      <c r="M16" s="288" t="s">
        <v>18</v>
      </c>
      <c r="N16"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16" s="289" t="str">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
      </c>
    </row>
    <row r="17" spans="1:15" x14ac:dyDescent="0.2">
      <c r="A17" s="270" t="str">
        <f>IF(V1="F","Revente","Wiederverkauf")</f>
        <v>Revente</v>
      </c>
      <c r="B17" s="265"/>
      <c r="C17" s="258">
        <f>D50</f>
        <v>0</v>
      </c>
      <c r="D17" s="299" t="e">
        <f>IF((VLOOKUP($C$9,'RL Ziele'!$A$2:$G$15,5,0))*$U$6=0,"",(VLOOKUP($C$9,'RL Ziele'!$A$2:$G$15,5,0))*$U$6)</f>
        <v>#REF!</v>
      </c>
      <c r="E17" s="324" t="str">
        <f>IF(ISERROR(C17/D17),"",(C17/D17))</f>
        <v/>
      </c>
      <c r="F17" s="265"/>
      <c r="G17" s="327" t="e">
        <f>$U$6</f>
        <v>#REF!</v>
      </c>
      <c r="H17" s="283"/>
      <c r="I17" s="288" t="e">
        <f>IF(V1="F",#REF!,#REF!)</f>
        <v>#REF!</v>
      </c>
      <c r="J17"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17"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17" s="289"/>
      <c r="M17" s="288" t="s">
        <v>69</v>
      </c>
      <c r="N17"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17" s="289" t="str">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
      </c>
    </row>
    <row r="18" spans="1:15" x14ac:dyDescent="0.2">
      <c r="A18" s="298" t="str">
        <f>IF(V1="F","* Roues: objectif annuel","* WKR: Jahresziel")</f>
        <v>* Roues: objectif annuel</v>
      </c>
      <c r="B18" s="266"/>
      <c r="C18" s="266"/>
      <c r="D18" s="266"/>
      <c r="E18" s="266"/>
      <c r="F18" s="266"/>
      <c r="G18" s="328"/>
      <c r="H18" s="283"/>
      <c r="I18" s="288" t="e">
        <f>IF(V1="F",#REF!,#REF!)</f>
        <v>#REF!</v>
      </c>
      <c r="J18"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18"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18" s="289"/>
      <c r="M18" s="288" t="e">
        <f>IF(V1="F",#REF!,#REF!)</f>
        <v>#REF!</v>
      </c>
      <c r="N18"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18" s="289" t="str">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
      </c>
    </row>
    <row r="19" spans="1:15" x14ac:dyDescent="0.2">
      <c r="I19" s="288" t="e">
        <f>IF(V1="F",#REF!,#REF!)</f>
        <v>#REF!</v>
      </c>
      <c r="J19"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19"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19" s="289"/>
      <c r="M19" s="288" t="e">
        <f>IF(V1="F",#REF!,#REF!)</f>
        <v>#REF!</v>
      </c>
      <c r="N19"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19" s="289" t="str">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
      </c>
    </row>
    <row r="20" spans="1:15" x14ac:dyDescent="0.2">
      <c r="A20" s="446" t="str">
        <f>IF($V$1="F","Pièces concurrencées","Konk. Teile")</f>
        <v>Pièces concurrencées</v>
      </c>
      <c r="B20" s="446"/>
      <c r="C20" s="446"/>
      <c r="I20" s="288" t="e">
        <f>IF(V1="F",#REF!,#REF!)</f>
        <v>#REF!</v>
      </c>
      <c r="J20"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20"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20" s="289"/>
      <c r="M20" s="288" t="e">
        <f>IF(V1="F",#REF!,#REF!)</f>
        <v>#REF!</v>
      </c>
      <c r="N20"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20" s="289" t="str">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
      </c>
    </row>
    <row r="21" spans="1:15" ht="12.75" customHeight="1" x14ac:dyDescent="0.2">
      <c r="A21" s="251" t="str">
        <f>IF($V$1="F","Période","Abschnitt")</f>
        <v>Période</v>
      </c>
      <c r="B21" s="252"/>
      <c r="C21" s="250" t="str">
        <f>IF($V$1="F","Objectif saiso.","Ziel Saiso.")</f>
        <v>Objectif saiso.</v>
      </c>
      <c r="D21" s="250" t="str">
        <f>IF($V$1="F","Chiffre d'affaire","Umsatz")</f>
        <v>Chiffre d'affaire</v>
      </c>
      <c r="E21" s="250" t="str">
        <f>IF($V$1="F","Réalisation","Erreichung")</f>
        <v>Réalisation</v>
      </c>
      <c r="F21" s="250" t="s">
        <v>65</v>
      </c>
      <c r="G21" s="240"/>
      <c r="H21" s="283"/>
      <c r="I21" s="288" t="e">
        <f>IF(V1="F",#REF!,#REF!)</f>
        <v>#REF!</v>
      </c>
      <c r="J21"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21"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21" s="289"/>
      <c r="M21" s="288" t="s">
        <v>19</v>
      </c>
      <c r="N21"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21" s="289" t="str">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
      </c>
    </row>
    <row r="22" spans="1:15" x14ac:dyDescent="0.2">
      <c r="A22" s="241" t="str">
        <f>IF($V$1="F","avr.-juin","Apr.-Jun.")</f>
        <v>avr.-juin</v>
      </c>
      <c r="B22" s="242"/>
      <c r="C22" s="253" t="e">
        <f>IF((VLOOKUP($C$9,'RL Ziele'!A:B,2,0)*#REF!)=0,"",(VLOOKUP($C$9,'RL Ziele'!A:B,2,0)*#REF!))</f>
        <v>#REF!</v>
      </c>
      <c r="D22" s="254"/>
      <c r="E22" s="259" t="str">
        <f>IF(ISERROR(D22/C22),"",(D22/C22))</f>
        <v/>
      </c>
      <c r="F22" s="260"/>
      <c r="G22" s="243"/>
      <c r="H22" s="283"/>
      <c r="I22" s="288" t="e">
        <f>IF(V1="F",#REF!,#REF!)</f>
        <v>#REF!</v>
      </c>
      <c r="J22"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22"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22" s="289"/>
      <c r="M22" s="288" t="e">
        <f>IF(V1="F",#REF!,#REF!)</f>
        <v>#REF!</v>
      </c>
      <c r="N22"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22" s="289" t="str">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
      </c>
    </row>
    <row r="23" spans="1:15" x14ac:dyDescent="0.2">
      <c r="A23" s="241" t="str">
        <f>IF($V$1="F","juil.-sept.","Jul.-Sept.")</f>
        <v>juil.-sept.</v>
      </c>
      <c r="B23" s="242"/>
      <c r="C23" s="255" t="e">
        <f>IF((VLOOKUP($C$9,'RL Ziele'!A:B,2,0)*#REF!)=0,"",(VLOOKUP($C$9,'RL Ziele'!A:B,2,0)*#REF!))</f>
        <v>#REF!</v>
      </c>
      <c r="D23" s="256" t="str">
        <f>IF(ISERROR(VLOOKUP($C$9,'[2]Pivot groupes DR'!$M$4:$AL$19,7,0)),"",(VLOOKUP($C$9,'[2]Pivot groupes DR'!$M$4:$AL$19,7,0)))</f>
        <v/>
      </c>
      <c r="E23" s="261" t="str">
        <f>IF(ISERROR(D23/C23),"",(D23/C23))</f>
        <v/>
      </c>
      <c r="F23" s="262"/>
      <c r="G23" s="243"/>
      <c r="H23" s="283"/>
      <c r="I23" s="288" t="e">
        <f>IF(V1="F",#REF!,#REF!)</f>
        <v>#REF!</v>
      </c>
      <c r="J23"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23"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23" s="289"/>
      <c r="M23" s="288" t="e">
        <f>IF(V1="F",#REF!,#REF!)</f>
        <v>#REF!</v>
      </c>
      <c r="N23"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23" s="289" t="str">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
      </c>
    </row>
    <row r="24" spans="1:15" x14ac:dyDescent="0.2">
      <c r="A24" s="241" t="str">
        <f>IF($V$1="F","sept.-déc.","Sept.-Dez.")</f>
        <v>sept.-déc.</v>
      </c>
      <c r="B24" s="242"/>
      <c r="C24" s="255" t="e">
        <f>IF((VLOOKUP($C$9,'RL Ziele'!A:B,2,0)*#REF!)=0,"",(VLOOKUP($C$9,'RL Ziele'!A:B,2,0)*#REF!))</f>
        <v>#REF!</v>
      </c>
      <c r="D24" s="256" t="str">
        <f>IF(ISERROR(VLOOKUP($C$9,'[2]Pivot groupes DR'!$M$4:$AL$19,12,0)),"",(VLOOKUP($C$9,'[2]Pivot groupes DR'!$M$4:$AL$19,12,0)))</f>
        <v/>
      </c>
      <c r="E24" s="261" t="str">
        <f>IF(ISERROR(D24/C24),"",(D24/C24))</f>
        <v/>
      </c>
      <c r="F24" s="262"/>
      <c r="G24" s="243"/>
      <c r="H24" s="283"/>
      <c r="I24" s="288" t="e">
        <f>IF(V1="F",#REF!,#REF!)</f>
        <v>#REF!</v>
      </c>
      <c r="J24"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24"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24" s="289"/>
      <c r="M24" s="288" t="e">
        <f>IF(V1="F",#REF!,#REF!)</f>
        <v>#REF!</v>
      </c>
      <c r="N24"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24" s="289" t="str">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
      </c>
    </row>
    <row r="25" spans="1:15" ht="13.5" thickBot="1" x14ac:dyDescent="0.25">
      <c r="A25" s="307" t="str">
        <f>IF($V$1="F","jan.-mars","Jan.-März")</f>
        <v>jan.-mars</v>
      </c>
      <c r="B25" s="308"/>
      <c r="C25" s="304" t="e">
        <f>IF((VLOOKUP($C$9,'RL Ziele'!A:B,2,0)*#REF!)=0,"",(VLOOKUP($C$9,'RL Ziele'!A:B,2,0)*#REF!))</f>
        <v>#REF!</v>
      </c>
      <c r="D25" s="305" t="str">
        <f>IF(ISERROR(VLOOKUP($C$9,'[2]Pivot groupes DR'!$M$4:$AL$19,17,0)),"",(VLOOKUP($C$9,'[2]Pivot groupes DR'!$M$4:$AL$19,17,0)))</f>
        <v/>
      </c>
      <c r="E25" s="305" t="str">
        <f>IF(ISERROR(D25/C25),"",(D25/C25))</f>
        <v/>
      </c>
      <c r="F25" s="306"/>
      <c r="G25" s="243"/>
      <c r="H25" s="283"/>
      <c r="I25" s="288" t="e">
        <f>IF(V1="F",#REF!,#REF!)</f>
        <v>#REF!</v>
      </c>
      <c r="J25"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25"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25" s="289"/>
      <c r="M25" s="288" t="e">
        <f>IF(V1="F",#REF!,#REF!)</f>
        <v>#REF!</v>
      </c>
      <c r="N25" s="289" t="str">
        <f>IF(IF($V$1="F",IF(ISERROR(INDEX('[2]Evolution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FY13'!$B$73:$P$73,0)))))=0,"",IF($V$1="F",IF(ISERROR(INDEX('[2]Evolution DC FY13'!$B$3:$P$59,MATCH(Tableau6[[#This Row],[Description]],'[2]Evolution DC FY13'!$A$3:$A$58,0),MATCH($T$9,'[2]Evolution DC FY13'!$B$2:$P$2,0))),"",(INDEX('[2]Evolution DC FY13'!$B$3:$P$59,MATCH(Tableau6[[#This Row],[Description]],'[2]Evolution DC FY13'!$A$3:$A$58,0),MATCH($T$9,'[2]Evolution DC FY13'!$B$2:$P$2,0)))),IF(ISERROR(INDEX('[2]Evolution DC FY13'!$B$74:$P$131,MATCH(Tableau6[[#This Row],[Description]],'[2]Evolution DC FY13'!$A$74:$A$130,0),MATCH($T$9,'[2]Evolution DC FY13'!$B$73:$P$73,0))),"",(INDEX('[2]Evolution DC FY13'!$B$74:$P$131,MATCH(Tableau6[[#This Row],[Description]],'[2]Evolution DC FY13'!$A$74:$A$130,0),MATCH($T$9,'[2]Evolution DC FY13'!$B$73:$P$73,0))))))</f>
        <v/>
      </c>
      <c r="O25" s="289" t="str">
        <f>IF(IF($V$1="F",IF(ISERROR(INDEX(#REF!,MATCH(Tableau4[[#This Row],[Description]],#REF!,0),MATCH($T$9,#REF!,0))*$U$5),"",(INDEX(#REF!,MATCH(Tableau4[[#This Row],[Description]],#REF!,0),MATCH($T$9,#REF!,0)))*$U$5),IF(ISERROR(INDEX(#REF!,MATCH(Tableau4[[#This Row],[Description]],#REF!,0),MATCH($T$9,#REF!,0)))*$U$5,"",(INDEX(#REF!,MATCH(Tableau4[[#This Row],[Description]],#REF!,0),MATCH($T$9,#REF!,0)))*$U$5))=0,"",IF($V$1="F",IF(ISERROR(INDEX(#REF!,MATCH(Tableau4[[#This Row],[Description]],#REF!,0),MATCH($T$9,#REF!,0))*$U$5),"",(INDEX(#REF!,MATCH(Tableau4[[#This Row],[Description]],#REF!,0),MATCH($T$9,#REF!,0)))*$U$5),IF(ISERROR(INDEX(#REF!,MATCH(Tableau4[[#This Row],[Description]],#REF!,0),MATCH($T$9,#REF!,0)))*$U$5,"",(INDEX(#REF!,MATCH(Tableau4[[#This Row],[Description]],#REF!,0),MATCH($T$9,#REF!,0)))*$U$5)))</f>
        <v/>
      </c>
    </row>
    <row r="26" spans="1:15" x14ac:dyDescent="0.2">
      <c r="A26" s="453" t="s">
        <v>56</v>
      </c>
      <c r="B26" s="454"/>
      <c r="C26" s="300" t="str">
        <f>IF(VLOOKUP($C$9,'RL Ziele'!A:B,2,0)=0,"",VLOOKUP($C$9,'RL Ziele'!A:B,2,0))</f>
        <v/>
      </c>
      <c r="D26" s="301">
        <f>SUM(D22:D25)</f>
        <v>0</v>
      </c>
      <c r="E26" s="302" t="str">
        <f>IF(ISERROR(D26/C26),"",(D26/C26))</f>
        <v/>
      </c>
      <c r="F26" s="303"/>
      <c r="G26" s="247"/>
      <c r="I26" s="288" t="e">
        <f>IF(V1="F",#REF!,#REF!)</f>
        <v>#REF!</v>
      </c>
      <c r="J26"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26"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26" s="289"/>
      <c r="M26" s="288"/>
      <c r="N26" s="288"/>
      <c r="O26" s="288"/>
    </row>
    <row r="27" spans="1:15" x14ac:dyDescent="0.2">
      <c r="I27" s="288" t="e">
        <f>IF(V1="F",#REF!,#REF!)</f>
        <v>#REF!</v>
      </c>
      <c r="J27"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27"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27" s="289"/>
      <c r="M27" s="445" t="str">
        <f>IF(V1="F","Evolution roues","Entwicklung Winterkompletträder")</f>
        <v>Evolution roues</v>
      </c>
      <c r="N27" s="445"/>
      <c r="O27" s="445"/>
    </row>
    <row r="28" spans="1:15" x14ac:dyDescent="0.2">
      <c r="A28" s="446" t="str">
        <f>IF($V$1="F","Accessoires","Zubehör")</f>
        <v>Accessoires</v>
      </c>
      <c r="B28" s="446"/>
      <c r="C28" s="446"/>
      <c r="H28" s="283"/>
      <c r="I28" s="288" t="e">
        <f>IF(V1="F",#REF!,#REF!)</f>
        <v>#REF!</v>
      </c>
      <c r="J28"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28"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28" s="289"/>
      <c r="M28" s="286" t="s">
        <v>66</v>
      </c>
      <c r="N28" s="287" t="s">
        <v>67</v>
      </c>
      <c r="O28" s="287" t="s">
        <v>68</v>
      </c>
    </row>
    <row r="29" spans="1:15" x14ac:dyDescent="0.2">
      <c r="A29" s="456" t="str">
        <f>IF($V$1="F","Période","Abschnitt")</f>
        <v>Période</v>
      </c>
      <c r="B29" s="457"/>
      <c r="C29" s="314" t="str">
        <f>IF($V$1="F","Objectif saiso.","Ziel Saiso.")</f>
        <v>Objectif saiso.</v>
      </c>
      <c r="D29" s="314" t="str">
        <f>IF($V$1="F","Chiffre d'affaire","Umsatz")</f>
        <v>Chiffre d'affaire</v>
      </c>
      <c r="E29" s="314" t="str">
        <f>IF($V$1="F","Réalisation","Erreichung")</f>
        <v>Réalisation</v>
      </c>
      <c r="F29" s="314" t="s">
        <v>65</v>
      </c>
      <c r="G29" s="240"/>
      <c r="H29" s="283"/>
      <c r="I29" s="288" t="e">
        <f>IF(V1="F",#REF!,#REF!)</f>
        <v>#REF!</v>
      </c>
      <c r="J29"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29"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29" s="289"/>
      <c r="M29" s="288" t="e">
        <f>IF(V1="F",#REF!,#REF!)</f>
        <v>#REF!</v>
      </c>
      <c r="N29" s="289" t="str">
        <f>IF($V$1="F",IF(ISERROR(INDEX('[2]Evolution DC FY13'!$B$3:$P$59,MATCH(Tableau8[[#This Row],[Description]],'[2]Evolution DC FY13'!$A$3:$A$58,0),MATCH($T$9,'[2]Evolution DC FY13'!$B$2:$P$2,0))),"",(INDEX('[2]Evolution DC FY13'!$B$3:$P$59,MATCH(Tableau8[[#This Row],[Description]],'[2]Evolution DC FY13'!$A$3:$A$58,0),MATCH($T$9,'[2]Evolution DC FY13'!$B$2:$P$2,0)))),IF(ISERROR(INDEX('[2]Evolution DC FY13'!$B$74:$P$131,MATCH(Tableau8[[#This Row],[Description]],'[2]Evolution DC FY13'!$A$74:$A$130,0),MATCH($T$9,'[2]Evolution DC FY13'!$B$73:$P$73,0))),"",(INDEX('[2]Evolution DC FY13'!$B$74:$P$131,MATCH(Tableau8[[#This Row],[Description]],'[2]Evolution DC FY13'!$A$74:$A$130,0),MATCH($T$9,'[2]Evolution DC FY13'!$B$73:$P$73,0)))))</f>
        <v/>
      </c>
      <c r="O29" s="289" t="str">
        <f>IF($V$1="F",IF(ISERROR(INDEX(#REF!,MATCH(Tableau4[[#This Row],[Description]],#REF!,0),MATCH($T$9,#REF!,0))),"",(INDEX(#REF!,MATCH(Tableau8[Description],#REF!,0),MATCH($T$9,#REF!,0)))),IF(ISERROR(INDEX(#REF!,MATCH(Tableau8[Description],#REF!,0),MATCH($T$9,#REF!,0))),"",(INDEX(#REF!,MATCH(Tableau8[Description],#REF!,0),MATCH($T$9,#REF!,0)))))</f>
        <v/>
      </c>
    </row>
    <row r="30" spans="1:15" x14ac:dyDescent="0.2">
      <c r="A30" s="460" t="str">
        <f>IF($V$1="F","avr.-juin","Apr.-Jun.")</f>
        <v>avr.-juin</v>
      </c>
      <c r="B30" s="461"/>
      <c r="C30" s="253" t="e">
        <f>IF((VLOOKUP($C$9,'RL Ziele'!A:G,3,0)*#REF!)=0,"",(VLOOKUP($C$9,'RL Ziele'!A:G,3,0)*#REF!))</f>
        <v>#REF!</v>
      </c>
      <c r="D30" s="254"/>
      <c r="E30" s="259" t="str">
        <f>IF(ISERROR(D30/C30),"",(D30/C30))</f>
        <v/>
      </c>
      <c r="F30" s="260"/>
      <c r="G30" s="243"/>
      <c r="H30" s="283"/>
      <c r="I30" s="288" t="e">
        <f>IF(V1="F",#REF!,#REF!)</f>
        <v>#REF!</v>
      </c>
      <c r="J30"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30"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30" s="289"/>
      <c r="M30" s="288"/>
      <c r="N30" s="288"/>
      <c r="O30" s="288"/>
    </row>
    <row r="31" spans="1:15" x14ac:dyDescent="0.2">
      <c r="A31" s="460" t="str">
        <f>IF($V$1="F","juil.-sept.","Jul.-Sept.")</f>
        <v>juil.-sept.</v>
      </c>
      <c r="B31" s="461"/>
      <c r="C31" s="255" t="e">
        <f>IF((VLOOKUP($C$9,'RL Ziele'!A:G,3,0)*#REF!)=0,"",(VLOOKUP($C$9,'RL Ziele'!A:G,3,0)*#REF!))</f>
        <v>#REF!</v>
      </c>
      <c r="D31" s="256" t="str">
        <f>IF(ISERROR(VLOOKUP($C$9,'[2]Pivot groupes DR'!$M$4:$AL$19,8,0)),"",(VLOOKUP($C$9,'[2]Pivot groupes DR'!$M$4:$AL$19,8,0)))</f>
        <v/>
      </c>
      <c r="E31" s="261" t="str">
        <f>IF(ISERROR(D31/C31),"",(D31/C31))</f>
        <v/>
      </c>
      <c r="F31" s="262"/>
      <c r="G31" s="243"/>
      <c r="H31" s="283"/>
      <c r="I31" s="288" t="e">
        <f>IF(V1="F",#REF!,#REF!)</f>
        <v>#REF!</v>
      </c>
      <c r="J31"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31"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31" s="289"/>
      <c r="M31" s="288"/>
      <c r="N31" s="288"/>
      <c r="O31" s="288"/>
    </row>
    <row r="32" spans="1:15" x14ac:dyDescent="0.2">
      <c r="A32" s="460" t="str">
        <f>IF($V$1="F","sept.-déc.","Sept.-Dez.")</f>
        <v>sept.-déc.</v>
      </c>
      <c r="B32" s="461"/>
      <c r="C32" s="255" t="e">
        <f>IF((VLOOKUP($C$9,'RL Ziele'!A:G,3,0)*#REF!)=0,"",(VLOOKUP($C$9,'RL Ziele'!A:G,3,0)*#REF!))</f>
        <v>#REF!</v>
      </c>
      <c r="D32" s="256" t="str">
        <f>IF(ISERROR(VLOOKUP($C$9,'[2]Pivot groupes DR'!$M$4:$AL$19,13,0)),"",(VLOOKUP($C$9,'[2]Pivot groupes DR'!$M$4:$AL$19,13,0)))</f>
        <v/>
      </c>
      <c r="E32" s="261" t="str">
        <f>IF(ISERROR(D32/C32),"",(D32/C32))</f>
        <v/>
      </c>
      <c r="F32" s="262"/>
      <c r="G32" s="243"/>
      <c r="H32" s="283"/>
      <c r="I32" s="288" t="e">
        <f>IF(V1="F",#REF!,#REF!)</f>
        <v>#REF!</v>
      </c>
      <c r="J32"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32"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32" s="289"/>
      <c r="M32" s="288"/>
      <c r="N32" s="288"/>
      <c r="O32" s="288"/>
    </row>
    <row r="33" spans="1:15" ht="13.5" thickBot="1" x14ac:dyDescent="0.25">
      <c r="A33" s="458" t="str">
        <f>IF($V$1="F","jan.-mars","Jan.-März")</f>
        <v>jan.-mars</v>
      </c>
      <c r="B33" s="459"/>
      <c r="C33" s="309" t="e">
        <f>IF((VLOOKUP($C$9,'RL Ziele'!A:G,3,0)*#REF!)=0,"",(VLOOKUP($C$9,'RL Ziele'!A:G,3,0)*#REF!))</f>
        <v>#REF!</v>
      </c>
      <c r="D33" s="305" t="str">
        <f>IF(ISERROR(VLOOKUP($C$9,'[2]Pivot groupes DR'!$M$6:$AE$19,18,0)),"",(VLOOKUP($C$9,'[2]Pivot groupes DR'!$M$4:$AL$19,18,0)))</f>
        <v/>
      </c>
      <c r="E33" s="305" t="str">
        <f>IF(ISERROR(D33/C33),"",(D33/C33))</f>
        <v/>
      </c>
      <c r="F33" s="310"/>
      <c r="G33" s="243"/>
      <c r="I33" s="288" t="e">
        <f>IF(V1="F",#REF!,#REF!)</f>
        <v>#REF!</v>
      </c>
      <c r="J33"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33"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33" s="289"/>
      <c r="M33" s="288"/>
      <c r="N33" s="288"/>
      <c r="O33" s="288"/>
    </row>
    <row r="34" spans="1:15" x14ac:dyDescent="0.2">
      <c r="A34" s="453" t="s">
        <v>56</v>
      </c>
      <c r="B34" s="454"/>
      <c r="C34" s="300" t="str">
        <f>IF((VLOOKUP($C$9,'RL Ziele'!A:B,2,0))=0,"",(VLOOKUP($C$9,'RL Ziele'!A:B,2,0)))</f>
        <v/>
      </c>
      <c r="D34" s="301">
        <f>SUM(D30:D33)</f>
        <v>0</v>
      </c>
      <c r="E34" s="302" t="str">
        <f>IF(ISERROR(D34/C34),"",(D34/C34))</f>
        <v/>
      </c>
      <c r="F34" s="303"/>
      <c r="G34" s="247"/>
      <c r="I34" s="288" t="e">
        <f>IF(V1="F",#REF!,#REF!)</f>
        <v>#REF!</v>
      </c>
      <c r="J34"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34"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34" s="289"/>
      <c r="M34" s="288"/>
      <c r="N34" s="288"/>
      <c r="O34" s="288"/>
    </row>
    <row r="35" spans="1:15" x14ac:dyDescent="0.2">
      <c r="H35" s="283"/>
      <c r="I35" s="288" t="e">
        <f>IF(V1="F",#REF!,#REF!)</f>
        <v>#REF!</v>
      </c>
      <c r="J35"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35"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35" s="289"/>
      <c r="M35" s="288"/>
      <c r="N35" s="288"/>
      <c r="O35" s="288"/>
    </row>
    <row r="36" spans="1:15" x14ac:dyDescent="0.2">
      <c r="A36" s="446" t="str">
        <f>IF($V$1="F","Roues","Räder")</f>
        <v>Roues</v>
      </c>
      <c r="B36" s="446"/>
      <c r="C36" s="446"/>
      <c r="H36" s="283"/>
      <c r="I36" s="288" t="e">
        <f>IF(V1="F",#REF!,#REF!)</f>
        <v>#REF!</v>
      </c>
      <c r="J36"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36"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36" s="289"/>
      <c r="M36" s="288"/>
      <c r="N36" s="288"/>
      <c r="O36" s="288"/>
    </row>
    <row r="37" spans="1:15" x14ac:dyDescent="0.2">
      <c r="A37" s="456" t="str">
        <f>IF($V$1="F","Période","Abschnitt")</f>
        <v>Période</v>
      </c>
      <c r="B37" s="457"/>
      <c r="C37" s="314" t="str">
        <f>IF($V$1="F","Objectif annuel","Jahresziel")</f>
        <v>Objectif annuel</v>
      </c>
      <c r="D37" s="314" t="str">
        <f>IF($V$1="F","Quantité","Menge")</f>
        <v>Quantité</v>
      </c>
      <c r="E37" s="314" t="str">
        <f>IF($V$1="F","Réalisation","Erreichung")</f>
        <v>Réalisation</v>
      </c>
      <c r="F37" s="314" t="s">
        <v>65</v>
      </c>
      <c r="G37" s="240"/>
      <c r="H37" s="283"/>
      <c r="I37" s="288" t="e">
        <f>IF(V1="F",#REF!,#REF!)</f>
        <v>#REF!</v>
      </c>
      <c r="J37"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37"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37" s="289"/>
      <c r="M37" s="288"/>
      <c r="N37" s="288"/>
      <c r="O37" s="288"/>
    </row>
    <row r="38" spans="1:15" x14ac:dyDescent="0.2">
      <c r="A38" s="460" t="str">
        <f>IF($V$1="F","avr.-juin","Apr.-Jun.")</f>
        <v>avr.-juin</v>
      </c>
      <c r="B38" s="461"/>
      <c r="C38" s="451" t="str">
        <f>IF(VLOOKUP($C$9,'RL Ziele'!A:G,4,0)=0,"",VLOOKUP($C$9,'RL Ziele'!A:G,4,0))</f>
        <v/>
      </c>
      <c r="D38" s="271" t="str">
        <f>IF(IF(ISERROR(VLOOKUP($C$9,'[2]Pivot groupes DR'!$M$4:$AL$19,5,0)),"",(VLOOKUP($C$9,'[2]Pivot groupes DR'!$M$4:$AL$19,5,0)))=0,"",IF(ISERROR(VLOOKUP($C$9,'[2]Pivot groupes DR'!$M$4:$AL$19,5,0)),"",(VLOOKUP($C$9,'[2]Pivot groupes DR'!$M$4:$AL$19,5,0))))</f>
        <v/>
      </c>
      <c r="E38" s="259" t="str">
        <f>IF(ISERROR(D38/C38),"",(D38/C38))</f>
        <v/>
      </c>
      <c r="F38" s="260"/>
      <c r="G38" s="243"/>
      <c r="H38" s="283"/>
      <c r="I38" s="288" t="e">
        <f>IF(V1="F",#REF!,#REF!)</f>
        <v>#REF!</v>
      </c>
      <c r="J38"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38"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38" s="289"/>
      <c r="M38" s="288"/>
      <c r="N38" s="288"/>
      <c r="O38" s="288"/>
    </row>
    <row r="39" spans="1:15" x14ac:dyDescent="0.2">
      <c r="A39" s="460" t="str">
        <f>IF($V$1="F","juil.-sept.","Jul.-Sept.")</f>
        <v>juil.-sept.</v>
      </c>
      <c r="B39" s="461"/>
      <c r="C39" s="451"/>
      <c r="D39" s="272" t="str">
        <f>IF(ISERROR(VLOOKUP($C$9,'[2]Pivot groupes DR'!$M$4:$AL$19,10,0)),"",(VLOOKUP($C$9,'[2]Pivot groupes DR'!$M$4:$AL$19,10,0)))</f>
        <v/>
      </c>
      <c r="E39" s="261" t="str">
        <f>IF(ISERROR(D39/C38),"",(D39/C38))</f>
        <v/>
      </c>
      <c r="F39" s="262"/>
      <c r="G39" s="243"/>
      <c r="H39" s="283"/>
      <c r="I39" s="288" t="e">
        <f>IF(V1="F",#REF!,#REF!)</f>
        <v>#REF!</v>
      </c>
      <c r="J39" s="289" t="str">
        <f>IF(IF($V$1="F",IF(ISERROR(INDEX(#REF!,MATCH(Tableau6[[#This Row],[Description]],#REF!,0),MATCH($T$9,#REF!,0))),"",(INDEX(#REF!,MATCH(Tableau6[[#This Row],[Description]],#REF!,0),MATCH($T$9,#REF!,0)))),IF(ISERROR(INDEX(#REF!,MATCH(Tableau6[[#This Row],[Description]],#REF!,0),MATCH($T$9,#REF!,0))),"",(INDEX(#REF!,MATCH(Tableau6[[#This Row],[Description]],#REF!,0),MATCH($T$9,#REF!,0)))))=0,"",IF($V$1="F",IF(ISERROR(INDEX(#REF!,MATCH(Tableau6[[#This Row],[Description]],#REF!,0),MATCH($T$9,#REF!,0))),"",(INDEX(#REF!,MATCH(Tableau6[[#This Row],[Description]],#REF!,0),MATCH($T$9,#REF!,0)))),IF(ISERROR(INDEX(#REF!,MATCH(Tableau6[[#This Row],[Description]],#REF!,0),MATCH($T$9,#REF!,0))),"",(INDEX(#REF!,MATCH(Tableau6[[#This Row],[Description]],#REF!,0),MATCH($T$9,#REF!,0))))))</f>
        <v/>
      </c>
      <c r="K39" s="289" t="str">
        <f>IF(IF($V$1="F",IF(ISERROR(INDEX(#REF!,MATCH(Tableau6[[#This Row],[Description]],#REF!,0),MATCH($T$9,#REF!,0))*$U$4),"",(INDEX(#REF!,MATCH(Tableau6[[#This Row],[Description]],#REF!,0),MATCH($T$9,#REF!,0)))*$U$4),IF(ISERROR(INDEX(#REF!,MATCH(Tableau6[[#This Row],[Description]],#REF!,0),MATCH($T$9,#REF!,0))*$U$4),"",(INDEX(#REF!,MATCH(Tableau6[[#This Row],[Description]],#REF!,0),MATCH($T$9,#REF!,0)))*$U$4))=0,"",IF($V$1="F",IF(ISERROR(INDEX(#REF!,MATCH(Tableau6[[#This Row],[Description]],#REF!,0),MATCH($T$9,#REF!,0))*$U$4),"",(INDEX(#REF!,MATCH(Tableau6[[#This Row],[Description]],#REF!,0),MATCH($T$9,#REF!,0)))*$U$4),IF(ISERROR(INDEX(#REF!,MATCH(Tableau6[[#This Row],[Description]],#REF!,0),MATCH($T$9,#REF!,0))*$U$4),"",(INDEX(#REF!,MATCH(Tableau6[[#This Row],[Description]],#REF!,0),MATCH($T$9,#REF!,0)))*$U$4)))</f>
        <v/>
      </c>
      <c r="L39" s="289"/>
      <c r="M39" s="288"/>
      <c r="N39" s="288"/>
      <c r="O39" s="288"/>
    </row>
    <row r="40" spans="1:15" x14ac:dyDescent="0.2">
      <c r="A40" s="460" t="str">
        <f>IF($V$1="F","sept.-déc.","Sept.-Dez.")</f>
        <v>sept.-déc.</v>
      </c>
      <c r="B40" s="461"/>
      <c r="C40" s="451"/>
      <c r="D40" s="272" t="str">
        <f>IF(ISERROR(VLOOKUP($C$9,'[2]Pivot groupes DR'!$M$4:$AL$19,15,0)),"",(VLOOKUP($C$9,'[2]Pivot groupes DR'!$M$4:$AL$19,15,0)))</f>
        <v/>
      </c>
      <c r="E40" s="261" t="str">
        <f>IF(ISERROR(D40/C38),"",(D40/C38))</f>
        <v/>
      </c>
      <c r="F40" s="262"/>
      <c r="G40" s="243"/>
      <c r="I40" s="288"/>
      <c r="J40" s="289"/>
      <c r="K40" s="289"/>
      <c r="L40" s="289"/>
      <c r="M40" s="288"/>
      <c r="N40" s="288"/>
      <c r="O40" s="288"/>
    </row>
    <row r="41" spans="1:15" ht="13.5" thickBot="1" x14ac:dyDescent="0.25">
      <c r="A41" s="458" t="str">
        <f>IF($V$1="F","jan.-mars","Jan.-März")</f>
        <v>jan.-mars</v>
      </c>
      <c r="B41" s="459"/>
      <c r="C41" s="452"/>
      <c r="D41" s="311" t="str">
        <f>IF(ISERROR(VLOOKUP($C$9,'[2]Pivot groupes DR'!$M$6:$AE$19,20,0)),"",(VLOOKUP($C$9,'[2]Pivot groupes DR'!$M$6:$AE$19,20,0)))</f>
        <v/>
      </c>
      <c r="E41" s="305" t="str">
        <f>IF(ISERROR(D41/C38),"",(D41/C38))</f>
        <v/>
      </c>
      <c r="F41" s="310"/>
      <c r="G41" s="243"/>
      <c r="I41" s="276"/>
      <c r="J41" s="276"/>
      <c r="K41" s="278"/>
      <c r="L41" s="278"/>
      <c r="M41" s="288"/>
      <c r="N41" s="288"/>
      <c r="O41" s="288"/>
    </row>
    <row r="42" spans="1:15" x14ac:dyDescent="0.2">
      <c r="A42" s="453" t="s">
        <v>56</v>
      </c>
      <c r="B42" s="454"/>
      <c r="C42" s="312" t="str">
        <f>C38</f>
        <v/>
      </c>
      <c r="D42" s="313" t="str">
        <f>IF(SUM(D38:D41)=0,"",SUM(D38:D41))</f>
        <v/>
      </c>
      <c r="E42" s="302" t="str">
        <f>IF(ISERROR(D42/C42),"",(D42/C42))</f>
        <v/>
      </c>
      <c r="F42" s="303"/>
      <c r="G42" s="247"/>
      <c r="H42" s="283"/>
      <c r="I42" s="276"/>
      <c r="J42" s="276"/>
      <c r="K42" s="278"/>
      <c r="L42" s="278"/>
      <c r="M42" s="288"/>
      <c r="N42" s="288"/>
      <c r="O42" s="288"/>
    </row>
    <row r="43" spans="1:15" x14ac:dyDescent="0.2">
      <c r="H43" s="283"/>
      <c r="I43" s="276"/>
      <c r="J43" s="276"/>
      <c r="K43" s="278"/>
      <c r="L43" s="278"/>
      <c r="M43" s="288"/>
      <c r="N43" s="288"/>
      <c r="O43" s="288"/>
    </row>
    <row r="44" spans="1:15" x14ac:dyDescent="0.2">
      <c r="A44" s="446" t="str">
        <f>IF($V$1="F","Revente","Wiederverkauf")</f>
        <v>Revente</v>
      </c>
      <c r="B44" s="446"/>
      <c r="C44" s="446"/>
      <c r="H44" s="283"/>
      <c r="I44" s="276"/>
      <c r="J44" s="276"/>
      <c r="K44" s="278"/>
      <c r="L44" s="278"/>
      <c r="M44" s="288"/>
      <c r="N44" s="288"/>
      <c r="O44" s="288"/>
    </row>
    <row r="45" spans="1:15" x14ac:dyDescent="0.2">
      <c r="A45" s="456" t="str">
        <f>IF($V$1="F","Période","Abschnitt")</f>
        <v>Période</v>
      </c>
      <c r="B45" s="457"/>
      <c r="C45" s="314" t="str">
        <f>IF($V$1="F","Objectif saiso.","Ziel Saiso.")</f>
        <v>Objectif saiso.</v>
      </c>
      <c r="D45" s="314" t="str">
        <f>IF($V$1="F","CA trimestre","Ums. Trimester")</f>
        <v>CA trimestre</v>
      </c>
      <c r="E45" s="314" t="str">
        <f>IF($V$1="F","Réalisation","Erreichung")</f>
        <v>Réalisation</v>
      </c>
      <c r="F45" s="314" t="s">
        <v>65</v>
      </c>
      <c r="G45" s="240"/>
      <c r="H45" s="283"/>
      <c r="I45" s="276"/>
      <c r="J45" s="276"/>
      <c r="K45" s="278"/>
      <c r="L45" s="278"/>
      <c r="M45" s="288"/>
      <c r="N45" s="288"/>
      <c r="O45" s="288"/>
    </row>
    <row r="46" spans="1:15" x14ac:dyDescent="0.2">
      <c r="A46" s="460" t="str">
        <f>IF($V$1="F","avr.-juin","Apr.-Jun.")</f>
        <v>avr.-juin</v>
      </c>
      <c r="B46" s="461"/>
      <c r="C46" s="253" t="e">
        <f>IF((VLOOKUP($C$9,'RL Ziele'!A:G,5,0)*#REF!)=0,"",(VLOOKUP($C$9,'RL Ziele'!A:G,5,0)*#REF!))</f>
        <v>#REF!</v>
      </c>
      <c r="D46" s="254" t="str">
        <f>IF(ISERROR(VLOOKUP($C$9,#REF!,7,0)),"",(VLOOKUP($C$9,#REF!,7,0)))</f>
        <v/>
      </c>
      <c r="E46" s="259" t="str">
        <f>IF(ISERROR(D46/C46),"",(D46/C46))</f>
        <v/>
      </c>
      <c r="F46" s="260"/>
      <c r="G46" s="243"/>
      <c r="H46" s="283"/>
      <c r="I46" s="276"/>
      <c r="J46" s="276"/>
      <c r="K46" s="278"/>
      <c r="L46" s="278"/>
      <c r="M46" s="288"/>
      <c r="N46" s="288"/>
      <c r="O46" s="288"/>
    </row>
    <row r="47" spans="1:15" x14ac:dyDescent="0.2">
      <c r="A47" s="460" t="str">
        <f>IF($V$1="F","juil.-sept.","Jul.-Sept.")</f>
        <v>juil.-sept.</v>
      </c>
      <c r="B47" s="461"/>
      <c r="C47" s="255" t="e">
        <f>IF((VLOOKUP($C$9,'RL Ziele'!A:G,5,0)*#REF!)=0,"",(VLOOKUP($C$9,'RL Ziele'!A:G,5,0)*#REF!))</f>
        <v>#REF!</v>
      </c>
      <c r="D47" s="256" t="str">
        <f>IF(ISERROR(VLOOKUP($C$9,#REF!,13,0)),"",(VLOOKUP($C$9,#REF!,13,0)))</f>
        <v/>
      </c>
      <c r="E47" s="261" t="str">
        <f>IF(ISERROR(D47/C47),"",(D47/C47))</f>
        <v/>
      </c>
      <c r="F47" s="262"/>
      <c r="G47" s="243"/>
      <c r="I47" s="276"/>
      <c r="J47" s="276"/>
      <c r="K47" s="278"/>
      <c r="L47" s="278"/>
      <c r="M47" s="288"/>
      <c r="N47" s="288"/>
      <c r="O47" s="288"/>
    </row>
    <row r="48" spans="1:15" x14ac:dyDescent="0.2">
      <c r="A48" s="460" t="str">
        <f>IF($V$1="F","sept.-déc.","Sept.-Dez.")</f>
        <v>sept.-déc.</v>
      </c>
      <c r="B48" s="461"/>
      <c r="C48" s="255" t="e">
        <f>IF((VLOOKUP($C$9,'RL Ziele'!A:G,5,0)*#REF!)=0,"",(VLOOKUP($C$9,'RL Ziele'!A:G,5,0)*#REF!))</f>
        <v>#REF!</v>
      </c>
      <c r="D48" s="256" t="str">
        <f>IF(ISERROR(VLOOKUP($C$9,#REF!,19,0)),"",(VLOOKUP($C$9,#REF!,19,0)))</f>
        <v/>
      </c>
      <c r="E48" s="261" t="str">
        <f>IF(ISERROR(D48/C48),"",(D48/C48))</f>
        <v/>
      </c>
      <c r="F48" s="262"/>
      <c r="G48" s="243"/>
      <c r="I48" s="276"/>
      <c r="J48" s="276"/>
      <c r="K48" s="278"/>
      <c r="L48" s="278"/>
      <c r="M48" s="288"/>
      <c r="N48" s="288"/>
      <c r="O48" s="288"/>
    </row>
    <row r="49" spans="1:15" ht="13.5" thickBot="1" x14ac:dyDescent="0.25">
      <c r="A49" s="458" t="str">
        <f>IF($V$1="F","jan.-mars","Jan.-März")</f>
        <v>jan.-mars</v>
      </c>
      <c r="B49" s="459"/>
      <c r="C49" s="309" t="e">
        <f>IF((VLOOKUP($C$9,'RL Ziele'!A:G,5,0)*#REF!)=0,"",(VLOOKUP($C$9,'RL Ziele'!A:G,5,0)*#REF!))</f>
        <v>#REF!</v>
      </c>
      <c r="D49" s="305" t="str">
        <f>IF(ISERROR(VLOOKUP($C$9,#REF!,25,0)),"",(VLOOKUP($C$9,#REF!,25,0)))</f>
        <v/>
      </c>
      <c r="E49" s="305" t="str">
        <f>IF(ISERROR(D49/C49),"",(D49/C49))</f>
        <v/>
      </c>
      <c r="F49" s="310"/>
      <c r="G49" s="243"/>
      <c r="I49" s="276"/>
      <c r="J49" s="276"/>
      <c r="K49" s="278"/>
      <c r="L49" s="278"/>
      <c r="M49" s="288"/>
      <c r="N49" s="288"/>
      <c r="O49" s="288"/>
    </row>
    <row r="50" spans="1:15" x14ac:dyDescent="0.2">
      <c r="A50" s="453" t="s">
        <v>56</v>
      </c>
      <c r="B50" s="454"/>
      <c r="C50" s="321" t="e">
        <f>IF((SUM(C46:C49)=0),"",(SUM(C46:C49)=0))</f>
        <v>#REF!</v>
      </c>
      <c r="D50" s="315">
        <f>SUM(D46:D49)</f>
        <v>0</v>
      </c>
      <c r="E50" s="302" t="str">
        <f>IF(ISERROR(D50/C50),"",(D50/C50))</f>
        <v/>
      </c>
      <c r="F50" s="303"/>
      <c r="G50" s="247"/>
      <c r="H50" s="283"/>
      <c r="I50" s="276"/>
      <c r="J50" s="276"/>
      <c r="K50" s="278"/>
      <c r="L50" s="278"/>
      <c r="M50" s="288"/>
      <c r="N50" s="288"/>
      <c r="O50" s="288"/>
    </row>
    <row r="51" spans="1:15" x14ac:dyDescent="0.2">
      <c r="H51" s="283"/>
      <c r="I51" s="276"/>
      <c r="J51" s="276"/>
      <c r="K51" s="278"/>
      <c r="L51" s="278"/>
      <c r="M51" s="278"/>
      <c r="N51" s="276"/>
      <c r="O51" s="276"/>
    </row>
    <row r="52" spans="1:15" x14ac:dyDescent="0.2">
      <c r="H52" s="283"/>
      <c r="I52" s="276"/>
      <c r="J52" s="276"/>
      <c r="K52" s="278"/>
      <c r="L52" s="278"/>
      <c r="M52" s="278"/>
      <c r="N52" s="276"/>
      <c r="O52" s="276"/>
    </row>
    <row r="53" spans="1:15" x14ac:dyDescent="0.2">
      <c r="A53" s="446" t="str">
        <f>IF($V$1="F","Croissance CA","Umsatzwachstum")</f>
        <v>Croissance CA</v>
      </c>
      <c r="B53" s="446"/>
      <c r="C53" s="446"/>
      <c r="H53" s="283"/>
      <c r="I53" s="276"/>
      <c r="J53" s="276"/>
      <c r="K53" s="278"/>
      <c r="L53" s="278"/>
      <c r="M53" s="278"/>
      <c r="N53" s="276"/>
      <c r="O53" s="276"/>
    </row>
    <row r="54" spans="1:15" x14ac:dyDescent="0.2">
      <c r="A54" s="251" t="str">
        <f>IF($V$1="F","Période","Abschnitt")</f>
        <v>Période</v>
      </c>
      <c r="B54" s="252"/>
      <c r="C54" s="250" t="str">
        <f>IF($V$1="F","FY13 cumulé","FY13 kum.")</f>
        <v>FY13 cumulé</v>
      </c>
      <c r="D54" s="250" t="str">
        <f>IF($V$1="F","FY12 cumulé","FY12 kum.")</f>
        <v>FY12 cumulé</v>
      </c>
      <c r="E54" s="250" t="str">
        <f>IF($V$1="F","Evolution","Wachstum")</f>
        <v>Evolution</v>
      </c>
      <c r="F54" s="250" t="s">
        <v>65</v>
      </c>
      <c r="G54" s="240"/>
      <c r="H54" s="283"/>
      <c r="L54" s="278"/>
      <c r="M54" s="278"/>
      <c r="N54" s="276"/>
      <c r="O54" s="276"/>
    </row>
    <row r="55" spans="1:15" x14ac:dyDescent="0.2">
      <c r="A55" s="241" t="str">
        <f>IF($V$1="F","avr.-juin","Apr.-Jun.")</f>
        <v>avr.-juin</v>
      </c>
      <c r="B55" s="242"/>
      <c r="C55" s="273"/>
      <c r="D55" s="254" t="e">
        <f>VLOOKUP($C$9,#REF!,3,0)</f>
        <v>#REF!</v>
      </c>
      <c r="E55" s="259" t="str">
        <f>IF(C55="","",(C55-D55)/D55)</f>
        <v/>
      </c>
      <c r="F55" s="260"/>
      <c r="G55" s="243"/>
      <c r="H55" s="283"/>
      <c r="M55" s="278"/>
      <c r="N55" s="276"/>
      <c r="O55" s="276"/>
    </row>
    <row r="56" spans="1:15" x14ac:dyDescent="0.2">
      <c r="A56" s="241" t="str">
        <f>IF($V$1="F","avr.-sept.","Apr.-Sept.")</f>
        <v>avr.-sept.</v>
      </c>
      <c r="B56" s="242"/>
      <c r="C56" s="274" t="str">
        <f>IF(ISERROR((VLOOKUP($C$9,'[2]Pivot groupes DR'!$M$4:$AL$19,11,0))+C55),"",((VLOOKUP($C$9,'[2]Pivot groupes DR'!$M$4:$AL$19,11,0))+C55))</f>
        <v/>
      </c>
      <c r="D56" s="254" t="e">
        <f>VLOOKUP($C$9,#REF!,6,0)</f>
        <v>#REF!</v>
      </c>
      <c r="E56" s="259" t="str">
        <f t="shared" ref="E56:E58" si="0">IF(C56="","",(C56-D56)/D56)</f>
        <v/>
      </c>
      <c r="F56" s="262"/>
      <c r="G56" s="243"/>
      <c r="M56" s="278"/>
      <c r="N56" s="276"/>
    </row>
    <row r="57" spans="1:15" x14ac:dyDescent="0.2">
      <c r="A57" s="241" t="str">
        <f>IF($V$1="F","avr.-déc.","Apr.-Dez.")</f>
        <v>avr.-déc.</v>
      </c>
      <c r="B57" s="242"/>
      <c r="C57" s="274" t="str">
        <f>IF(ISERROR(VLOOKUP($C$9,'[2]Pivot groupes DR'!$M$4:$AL$19,16,0)+C56),"",(VLOOKUP($C$9,'[2]Pivot groupes DR'!$M$4:$AL$19,16,0))+C56)</f>
        <v/>
      </c>
      <c r="D57" s="254" t="e">
        <f>VLOOKUP($C$9,#REF!,9,0)</f>
        <v>#REF!</v>
      </c>
      <c r="E57" s="259" t="str">
        <f t="shared" si="0"/>
        <v/>
      </c>
      <c r="F57" s="262"/>
      <c r="G57" s="243"/>
      <c r="M57" s="278"/>
    </row>
    <row r="58" spans="1:15" x14ac:dyDescent="0.2">
      <c r="A58" s="245" t="str">
        <f>IF($V$1="F","avr.-mars","Apr.-März")</f>
        <v>avr.-mars</v>
      </c>
      <c r="B58" s="246"/>
      <c r="C58" s="275" t="str">
        <f>IF(ISERROR(VLOOKUP($C$9,'[2]Pivot groupes DR'!$M$4:$AL$19,21,0)+C57),"",(VLOOKUP($C$9,'[2]Pivot groupes DR'!$M$4:$AL$19,21,0))+C57)</f>
        <v/>
      </c>
      <c r="D58" s="254" t="e">
        <f>VLOOKUP($C$9,#REF!,12,0)</f>
        <v>#REF!</v>
      </c>
      <c r="E58" s="259" t="str">
        <f t="shared" si="0"/>
        <v/>
      </c>
      <c r="F58" s="263"/>
      <c r="G58" s="247"/>
      <c r="M58" s="278"/>
    </row>
    <row r="59" spans="1:15" x14ac:dyDescent="0.2">
      <c r="M59" s="278"/>
    </row>
    <row r="60" spans="1:15" x14ac:dyDescent="0.2">
      <c r="M60" s="278"/>
    </row>
    <row r="61" spans="1:15" x14ac:dyDescent="0.2">
      <c r="A61" s="446" t="str">
        <f>IF($V$1="F","Agents rattachés","Angeschlossene Händler")</f>
        <v>Agents rattachés</v>
      </c>
      <c r="B61" s="446"/>
      <c r="C61" s="446"/>
      <c r="M61" s="278"/>
    </row>
    <row r="62" spans="1:15" x14ac:dyDescent="0.2">
      <c r="M62" s="278"/>
    </row>
    <row r="63" spans="1:15" x14ac:dyDescent="0.2">
      <c r="A63" s="106"/>
      <c r="B63" s="107"/>
      <c r="C63" s="106"/>
      <c r="D63" s="108"/>
      <c r="E63" s="108"/>
      <c r="F63" s="108"/>
      <c r="G63" s="83" t="s">
        <v>23</v>
      </c>
      <c r="H63" s="331" t="s">
        <v>4</v>
      </c>
      <c r="I63" s="432" t="s">
        <v>104</v>
      </c>
      <c r="M63" s="278"/>
    </row>
    <row r="64" spans="1:15" x14ac:dyDescent="0.2">
      <c r="A64" s="93" t="s">
        <v>89</v>
      </c>
      <c r="B64" s="92"/>
      <c r="C64" s="13"/>
      <c r="D64" s="12"/>
      <c r="E64" s="12"/>
      <c r="F64" s="12"/>
      <c r="G64" s="82">
        <f>DATE($L$2,$K$2+1,0)</f>
        <v>0</v>
      </c>
      <c r="H64" s="332">
        <f>$K$3</f>
        <v>0</v>
      </c>
      <c r="I64" s="433"/>
    </row>
    <row r="65" spans="1:9" x14ac:dyDescent="0.2">
      <c r="A65" s="12"/>
      <c r="B65" s="12"/>
      <c r="C65" s="12"/>
      <c r="D65" s="17"/>
      <c r="E65" s="12"/>
      <c r="F65" s="12"/>
      <c r="G65" s="12"/>
      <c r="H65" s="12"/>
      <c r="I65" s="433"/>
    </row>
    <row r="66" spans="1:9" x14ac:dyDescent="0.2">
      <c r="A66" s="12"/>
      <c r="B66" s="12"/>
      <c r="C66" s="88"/>
      <c r="D66" s="290" t="s">
        <v>8</v>
      </c>
      <c r="E66" s="89" t="s">
        <v>9</v>
      </c>
      <c r="F66" s="290" t="s">
        <v>10</v>
      </c>
      <c r="G66" s="90" t="s">
        <v>11</v>
      </c>
      <c r="H66" s="290" t="s">
        <v>12</v>
      </c>
      <c r="I66" s="433"/>
    </row>
    <row r="67" spans="1:9" ht="15" x14ac:dyDescent="0.25">
      <c r="A67" s="436">
        <v>3.1</v>
      </c>
      <c r="B67" s="95">
        <v>4</v>
      </c>
      <c r="C67" s="96" t="s">
        <v>90</v>
      </c>
      <c r="D67" s="291" t="e">
        <f>VLOOKUP(B67,#REF!,7,0)</f>
        <v>#REF!</v>
      </c>
      <c r="E67" s="291" t="e">
        <f t="shared" ref="E67:E76" si="1">F67*$K$3</f>
        <v>#REF!</v>
      </c>
      <c r="F67" s="291" t="e">
        <f>VLOOKUP(B67,#REF!,7,0)</f>
        <v>#REF!</v>
      </c>
      <c r="G67" s="97" t="e">
        <f>D67/E67</f>
        <v>#REF!</v>
      </c>
      <c r="H67" s="333" t="e">
        <f>D67/F67</f>
        <v>#REF!</v>
      </c>
      <c r="I67" s="433"/>
    </row>
    <row r="68" spans="1:9" ht="15" x14ac:dyDescent="0.25">
      <c r="A68" s="437"/>
      <c r="B68" s="95">
        <v>105</v>
      </c>
      <c r="C68" s="96" t="s">
        <v>91</v>
      </c>
      <c r="D68" s="291" t="e">
        <f>VLOOKUP(B68,#REF!,7,0)</f>
        <v>#REF!</v>
      </c>
      <c r="E68" s="291" t="e">
        <f t="shared" si="1"/>
        <v>#REF!</v>
      </c>
      <c r="F68" s="291" t="e">
        <f>VLOOKUP(B68,#REF!,7,0)</f>
        <v>#REF!</v>
      </c>
      <c r="G68" s="97" t="e">
        <f t="shared" ref="G68:G77" si="2">D68/E68</f>
        <v>#REF!</v>
      </c>
      <c r="H68" s="333" t="e">
        <f t="shared" ref="H68:H77" si="3">D68/F68</f>
        <v>#REF!</v>
      </c>
      <c r="I68" s="433"/>
    </row>
    <row r="69" spans="1:9" ht="15" x14ac:dyDescent="0.25">
      <c r="A69" s="437"/>
      <c r="B69" s="95">
        <v>115</v>
      </c>
      <c r="C69" s="96" t="s">
        <v>92</v>
      </c>
      <c r="D69" s="291" t="e">
        <f>VLOOKUP(B69,#REF!,7,0)</f>
        <v>#REF!</v>
      </c>
      <c r="E69" s="291" t="e">
        <f t="shared" si="1"/>
        <v>#REF!</v>
      </c>
      <c r="F69" s="291" t="e">
        <f>VLOOKUP(B69,#REF!,7,0)</f>
        <v>#REF!</v>
      </c>
      <c r="G69" s="97" t="e">
        <f t="shared" si="2"/>
        <v>#REF!</v>
      </c>
      <c r="H69" s="333" t="e">
        <f t="shared" si="3"/>
        <v>#REF!</v>
      </c>
      <c r="I69" s="433"/>
    </row>
    <row r="70" spans="1:9" ht="15" x14ac:dyDescent="0.25">
      <c r="A70" s="437"/>
      <c r="B70" s="95">
        <v>273</v>
      </c>
      <c r="C70" s="96" t="s">
        <v>93</v>
      </c>
      <c r="D70" s="291" t="e">
        <f>VLOOKUP(B70,#REF!,7,0)</f>
        <v>#REF!</v>
      </c>
      <c r="E70" s="291" t="e">
        <f t="shared" si="1"/>
        <v>#REF!</v>
      </c>
      <c r="F70" s="291" t="e">
        <f>VLOOKUP(B70,#REF!,7,0)</f>
        <v>#REF!</v>
      </c>
      <c r="G70" s="97" t="e">
        <f t="shared" si="2"/>
        <v>#REF!</v>
      </c>
      <c r="H70" s="333" t="e">
        <f t="shared" si="3"/>
        <v>#REF!</v>
      </c>
      <c r="I70" s="433"/>
    </row>
    <row r="71" spans="1:9" ht="15" x14ac:dyDescent="0.25">
      <c r="A71" s="437"/>
      <c r="B71" s="95">
        <v>326</v>
      </c>
      <c r="C71" s="96" t="s">
        <v>94</v>
      </c>
      <c r="D71" s="291" t="e">
        <f>VLOOKUP(B71,#REF!,7,0)</f>
        <v>#REF!</v>
      </c>
      <c r="E71" s="291" t="e">
        <f t="shared" si="1"/>
        <v>#REF!</v>
      </c>
      <c r="F71" s="291" t="e">
        <f>VLOOKUP(B71,#REF!,7,0)</f>
        <v>#REF!</v>
      </c>
      <c r="G71" s="97" t="e">
        <f t="shared" si="2"/>
        <v>#REF!</v>
      </c>
      <c r="H71" s="333" t="e">
        <f t="shared" si="3"/>
        <v>#REF!</v>
      </c>
      <c r="I71" s="433"/>
    </row>
    <row r="72" spans="1:9" ht="15" x14ac:dyDescent="0.25">
      <c r="A72" s="437"/>
      <c r="B72" s="95">
        <v>389</v>
      </c>
      <c r="C72" s="96" t="s">
        <v>95</v>
      </c>
      <c r="D72" s="291" t="e">
        <f>VLOOKUP(B72,#REF!,7,0)</f>
        <v>#REF!</v>
      </c>
      <c r="E72" s="291" t="e">
        <f t="shared" si="1"/>
        <v>#REF!</v>
      </c>
      <c r="F72" s="291" t="e">
        <f>VLOOKUP(B72,#REF!,7,0)</f>
        <v>#REF!</v>
      </c>
      <c r="G72" s="97" t="e">
        <f t="shared" si="2"/>
        <v>#REF!</v>
      </c>
      <c r="H72" s="333" t="e">
        <f t="shared" si="3"/>
        <v>#REF!</v>
      </c>
      <c r="I72" s="433"/>
    </row>
    <row r="73" spans="1:9" ht="15" x14ac:dyDescent="0.25">
      <c r="A73" s="437"/>
      <c r="B73" s="95">
        <v>483</v>
      </c>
      <c r="C73" s="96" t="s">
        <v>96</v>
      </c>
      <c r="D73" s="291" t="e">
        <f>VLOOKUP(B73,#REF!,7,0)</f>
        <v>#REF!</v>
      </c>
      <c r="E73" s="291" t="e">
        <f t="shared" si="1"/>
        <v>#REF!</v>
      </c>
      <c r="F73" s="291" t="e">
        <f>VLOOKUP(B73,#REF!,7,0)</f>
        <v>#REF!</v>
      </c>
      <c r="G73" s="97" t="e">
        <f t="shared" si="2"/>
        <v>#REF!</v>
      </c>
      <c r="H73" s="333" t="e">
        <f t="shared" si="3"/>
        <v>#REF!</v>
      </c>
      <c r="I73" s="433"/>
    </row>
    <row r="74" spans="1:9" ht="15" x14ac:dyDescent="0.25">
      <c r="A74" s="437"/>
      <c r="B74" s="95">
        <v>504</v>
      </c>
      <c r="C74" s="96" t="s">
        <v>97</v>
      </c>
      <c r="D74" s="291" t="e">
        <f>VLOOKUP(B74,#REF!,7,0)</f>
        <v>#REF!</v>
      </c>
      <c r="E74" s="291" t="e">
        <f t="shared" si="1"/>
        <v>#REF!</v>
      </c>
      <c r="F74" s="291" t="e">
        <f>VLOOKUP(B74,#REF!,7,0)</f>
        <v>#REF!</v>
      </c>
      <c r="G74" s="97" t="e">
        <f t="shared" si="2"/>
        <v>#REF!</v>
      </c>
      <c r="H74" s="333" t="e">
        <f t="shared" si="3"/>
        <v>#REF!</v>
      </c>
      <c r="I74" s="433"/>
    </row>
    <row r="75" spans="1:9" ht="15" x14ac:dyDescent="0.25">
      <c r="A75" s="437"/>
      <c r="B75" s="95">
        <v>687</v>
      </c>
      <c r="C75" s="96" t="s">
        <v>98</v>
      </c>
      <c r="D75" s="291" t="e">
        <f>VLOOKUP(B75,#REF!,7,0)</f>
        <v>#REF!</v>
      </c>
      <c r="E75" s="291" t="e">
        <f t="shared" si="1"/>
        <v>#REF!</v>
      </c>
      <c r="F75" s="291" t="e">
        <f>VLOOKUP(B75,#REF!,7,0)</f>
        <v>#REF!</v>
      </c>
      <c r="G75" s="97" t="e">
        <f t="shared" si="2"/>
        <v>#REF!</v>
      </c>
      <c r="H75" s="333" t="e">
        <f t="shared" si="3"/>
        <v>#REF!</v>
      </c>
      <c r="I75" s="433"/>
    </row>
    <row r="76" spans="1:9" ht="15.75" thickBot="1" x14ac:dyDescent="0.3">
      <c r="A76" s="438"/>
      <c r="B76" s="95">
        <v>503</v>
      </c>
      <c r="C76" s="96" t="s">
        <v>99</v>
      </c>
      <c r="D76" s="291" t="e">
        <f>VLOOKUP(B76,#REF!,7,0)</f>
        <v>#REF!</v>
      </c>
      <c r="E76" s="291" t="e">
        <f t="shared" si="1"/>
        <v>#REF!</v>
      </c>
      <c r="F76" s="291" t="e">
        <f>VLOOKUP(B76,#REF!,7,0)</f>
        <v>#REF!</v>
      </c>
      <c r="G76" s="97" t="e">
        <f t="shared" si="2"/>
        <v>#REF!</v>
      </c>
      <c r="H76" s="333" t="e">
        <f t="shared" si="3"/>
        <v>#REF!</v>
      </c>
      <c r="I76" s="433"/>
    </row>
    <row r="77" spans="1:9" ht="16.5" thickTop="1" thickBot="1" x14ac:dyDescent="0.25">
      <c r="A77" s="12"/>
      <c r="B77" s="60"/>
      <c r="C77" s="98" t="s">
        <v>7</v>
      </c>
      <c r="D77" s="292" t="e">
        <f>SUM(D67:D76)</f>
        <v>#REF!</v>
      </c>
      <c r="E77" s="292" t="e">
        <f>SUM(E67:E76)</f>
        <v>#REF!</v>
      </c>
      <c r="F77" s="292" t="e">
        <f>SUM(F67:F76)</f>
        <v>#REF!</v>
      </c>
      <c r="G77" s="94" t="e">
        <f t="shared" si="2"/>
        <v>#REF!</v>
      </c>
      <c r="H77" s="334" t="e">
        <f t="shared" si="3"/>
        <v>#REF!</v>
      </c>
      <c r="I77" s="433"/>
    </row>
    <row r="78" spans="1:9" ht="13.5" thickTop="1" x14ac:dyDescent="0.2">
      <c r="A78" s="12"/>
      <c r="B78" s="60"/>
      <c r="C78" s="12"/>
      <c r="D78" s="12"/>
      <c r="E78" s="12"/>
      <c r="F78" s="12"/>
      <c r="G78" s="12"/>
      <c r="H78" s="12"/>
      <c r="I78" s="433"/>
    </row>
    <row r="79" spans="1:9" x14ac:dyDescent="0.2">
      <c r="A79" s="12"/>
      <c r="B79" s="60"/>
      <c r="C79" s="12"/>
      <c r="D79" s="290" t="s">
        <v>8</v>
      </c>
      <c r="E79" s="368" t="s">
        <v>13</v>
      </c>
      <c r="F79" s="369"/>
      <c r="G79" s="89" t="s">
        <v>14</v>
      </c>
      <c r="H79" s="91"/>
      <c r="I79" s="433"/>
    </row>
    <row r="80" spans="1:9" ht="15" x14ac:dyDescent="0.25">
      <c r="A80" s="439">
        <v>3.2</v>
      </c>
      <c r="B80" s="95">
        <v>4</v>
      </c>
      <c r="C80" s="96" t="s">
        <v>90</v>
      </c>
      <c r="D80" s="291" t="e">
        <f>VLOOKUP(B80,#REF!,3,0)</f>
        <v>#REF!</v>
      </c>
      <c r="E80" s="443" t="e">
        <f>INDEX(#REF!,MATCH(B80,#REF!,0),MATCH(#REF!,#REF!,0))</f>
        <v>#REF!</v>
      </c>
      <c r="F80" s="443"/>
      <c r="G80" s="99" t="e">
        <f>(D80-E80)/E80</f>
        <v>#REF!</v>
      </c>
      <c r="H80" s="12"/>
      <c r="I80" s="433"/>
    </row>
    <row r="81" spans="1:9" ht="15" x14ac:dyDescent="0.25">
      <c r="A81" s="440"/>
      <c r="B81" s="95">
        <v>105</v>
      </c>
      <c r="C81" s="96" t="s">
        <v>91</v>
      </c>
      <c r="D81" s="291" t="e">
        <f>VLOOKUP(B81,#REF!,3,0)</f>
        <v>#REF!</v>
      </c>
      <c r="E81" s="443" t="e">
        <f>INDEX(#REF!,MATCH(B81,#REF!,0),MATCH(#REF!,#REF!,0))</f>
        <v>#REF!</v>
      </c>
      <c r="F81" s="443"/>
      <c r="G81" s="99" t="e">
        <f t="shared" ref="G81:G89" si="4">(D81-E81)/E81</f>
        <v>#REF!</v>
      </c>
      <c r="H81" s="12"/>
      <c r="I81" s="433"/>
    </row>
    <row r="82" spans="1:9" ht="15" x14ac:dyDescent="0.25">
      <c r="A82" s="440"/>
      <c r="B82" s="95">
        <v>115</v>
      </c>
      <c r="C82" s="96" t="s">
        <v>92</v>
      </c>
      <c r="D82" s="291" t="e">
        <f>VLOOKUP(B82,#REF!,3,0)</f>
        <v>#REF!</v>
      </c>
      <c r="E82" s="443" t="e">
        <f>INDEX(#REF!,MATCH(B82,#REF!,0),MATCH(#REF!,#REF!,0))</f>
        <v>#REF!</v>
      </c>
      <c r="F82" s="443"/>
      <c r="G82" s="99" t="e">
        <f t="shared" si="4"/>
        <v>#REF!</v>
      </c>
      <c r="H82" s="12"/>
      <c r="I82" s="433"/>
    </row>
    <row r="83" spans="1:9" ht="15" x14ac:dyDescent="0.25">
      <c r="A83" s="440"/>
      <c r="B83" s="95">
        <v>273</v>
      </c>
      <c r="C83" s="96" t="s">
        <v>93</v>
      </c>
      <c r="D83" s="291" t="e">
        <f>VLOOKUP(B83,#REF!,3,0)</f>
        <v>#REF!</v>
      </c>
      <c r="E83" s="443" t="e">
        <f>INDEX(#REF!,MATCH(B83,#REF!,0),MATCH(#REF!,#REF!,0))</f>
        <v>#REF!</v>
      </c>
      <c r="F83" s="443"/>
      <c r="G83" s="99" t="e">
        <f t="shared" si="4"/>
        <v>#REF!</v>
      </c>
      <c r="H83" s="12"/>
      <c r="I83" s="433"/>
    </row>
    <row r="84" spans="1:9" ht="15" x14ac:dyDescent="0.25">
      <c r="A84" s="440"/>
      <c r="B84" s="95">
        <v>326</v>
      </c>
      <c r="C84" s="96" t="s">
        <v>94</v>
      </c>
      <c r="D84" s="291" t="e">
        <f>VLOOKUP(B84,#REF!,3,0)</f>
        <v>#REF!</v>
      </c>
      <c r="E84" s="443" t="e">
        <f>INDEX(#REF!,MATCH(B84,#REF!,0),MATCH(#REF!,#REF!,0))</f>
        <v>#REF!</v>
      </c>
      <c r="F84" s="443"/>
      <c r="G84" s="99" t="e">
        <f t="shared" si="4"/>
        <v>#REF!</v>
      </c>
      <c r="H84" s="12"/>
      <c r="I84" s="433"/>
    </row>
    <row r="85" spans="1:9" ht="15" x14ac:dyDescent="0.25">
      <c r="A85" s="440"/>
      <c r="B85" s="95">
        <v>389</v>
      </c>
      <c r="C85" s="96" t="s">
        <v>95</v>
      </c>
      <c r="D85" s="291" t="e">
        <f>VLOOKUP(B85,#REF!,3,0)</f>
        <v>#REF!</v>
      </c>
      <c r="E85" s="443" t="e">
        <f>INDEX(#REF!,MATCH(B85,#REF!,0),MATCH(#REF!,#REF!,0))</f>
        <v>#REF!</v>
      </c>
      <c r="F85" s="443"/>
      <c r="G85" s="99" t="e">
        <f t="shared" si="4"/>
        <v>#REF!</v>
      </c>
      <c r="H85" s="12"/>
      <c r="I85" s="433"/>
    </row>
    <row r="86" spans="1:9" ht="15" x14ac:dyDescent="0.25">
      <c r="A86" s="440"/>
      <c r="B86" s="95">
        <v>483</v>
      </c>
      <c r="C86" s="96" t="s">
        <v>96</v>
      </c>
      <c r="D86" s="291" t="e">
        <f>VLOOKUP(B86,#REF!,3,0)</f>
        <v>#REF!</v>
      </c>
      <c r="E86" s="443" t="e">
        <f>INDEX(#REF!,MATCH(B86,#REF!,0),MATCH(#REF!,#REF!,0))</f>
        <v>#REF!</v>
      </c>
      <c r="F86" s="443"/>
      <c r="G86" s="99" t="e">
        <f t="shared" si="4"/>
        <v>#REF!</v>
      </c>
      <c r="H86" s="26"/>
      <c r="I86" s="433"/>
    </row>
    <row r="87" spans="1:9" ht="15" x14ac:dyDescent="0.25">
      <c r="A87" s="440"/>
      <c r="B87" s="95">
        <v>504</v>
      </c>
      <c r="C87" s="96" t="s">
        <v>97</v>
      </c>
      <c r="D87" s="291" t="e">
        <f>VLOOKUP(B87,#REF!,3,0)</f>
        <v>#REF!</v>
      </c>
      <c r="E87" s="443" t="e">
        <f>INDEX(#REF!,MATCH(B87,#REF!,0),MATCH(#REF!,#REF!,0))</f>
        <v>#REF!</v>
      </c>
      <c r="F87" s="443"/>
      <c r="G87" s="99" t="e">
        <f t="shared" si="4"/>
        <v>#REF!</v>
      </c>
      <c r="H87" s="12"/>
      <c r="I87" s="433"/>
    </row>
    <row r="88" spans="1:9" ht="15" x14ac:dyDescent="0.25">
      <c r="A88" s="440"/>
      <c r="B88" s="95">
        <v>687</v>
      </c>
      <c r="C88" s="96" t="s">
        <v>98</v>
      </c>
      <c r="D88" s="291" t="e">
        <f>VLOOKUP(B88,#REF!,3,0)</f>
        <v>#REF!</v>
      </c>
      <c r="E88" s="443" t="e">
        <f>INDEX(#REF!,MATCH(B88,#REF!,0),MATCH(#REF!,#REF!,0))</f>
        <v>#REF!</v>
      </c>
      <c r="F88" s="443"/>
      <c r="G88" s="99" t="e">
        <f t="shared" si="4"/>
        <v>#REF!</v>
      </c>
      <c r="H88" s="12"/>
      <c r="I88" s="433"/>
    </row>
    <row r="89" spans="1:9" ht="15.75" thickBot="1" x14ac:dyDescent="0.3">
      <c r="A89" s="441"/>
      <c r="B89" s="95">
        <v>503</v>
      </c>
      <c r="C89" s="96" t="s">
        <v>99</v>
      </c>
      <c r="D89" s="291" t="e">
        <f>VLOOKUP(B89,#REF!,3,0)</f>
        <v>#REF!</v>
      </c>
      <c r="E89" s="443" t="e">
        <f>INDEX(#REF!,MATCH(B89,#REF!,0),MATCH(#REF!,#REF!,0))</f>
        <v>#REF!</v>
      </c>
      <c r="F89" s="443"/>
      <c r="G89" s="99" t="e">
        <f t="shared" si="4"/>
        <v>#REF!</v>
      </c>
      <c r="H89" s="12"/>
      <c r="I89" s="433"/>
    </row>
    <row r="90" spans="1:9" ht="16.5" thickTop="1" thickBot="1" x14ac:dyDescent="0.25">
      <c r="A90" s="13"/>
      <c r="B90" s="86"/>
      <c r="C90" s="98" t="s">
        <v>7</v>
      </c>
      <c r="D90" s="228" t="e">
        <f>SUM(D80:D88)</f>
        <v>#REF!</v>
      </c>
      <c r="E90" s="435" t="e">
        <f>SUM(E80:E89)</f>
        <v>#REF!</v>
      </c>
      <c r="F90" s="435"/>
      <c r="G90" s="100" t="e">
        <f>(D90-E90)/E90</f>
        <v>#REF!</v>
      </c>
      <c r="H90" s="12"/>
      <c r="I90" s="434"/>
    </row>
    <row r="91" spans="1:9" ht="13.5" thickTop="1" x14ac:dyDescent="0.2"/>
    <row r="93" spans="1:9" ht="12.75" customHeight="1" x14ac:dyDescent="0.2">
      <c r="A93" s="106"/>
      <c r="B93" s="107"/>
      <c r="C93" s="106"/>
      <c r="D93" s="108"/>
      <c r="E93" s="108"/>
      <c r="F93" s="108"/>
      <c r="G93" s="83" t="s">
        <v>23</v>
      </c>
      <c r="H93" s="331" t="s">
        <v>4</v>
      </c>
      <c r="I93" s="432" t="s">
        <v>105</v>
      </c>
    </row>
    <row r="94" spans="1:9" x14ac:dyDescent="0.2">
      <c r="A94" s="93" t="s">
        <v>100</v>
      </c>
      <c r="B94" s="92"/>
      <c r="C94" s="13"/>
      <c r="D94" s="12"/>
      <c r="E94" s="12"/>
      <c r="F94" s="12"/>
      <c r="G94" s="82">
        <f>DATE($L$2,$K$2+1,0)</f>
        <v>0</v>
      </c>
      <c r="H94" s="332">
        <f>$K$3</f>
        <v>0</v>
      </c>
      <c r="I94" s="433"/>
    </row>
    <row r="95" spans="1:9" x14ac:dyDescent="0.2">
      <c r="A95" s="12"/>
      <c r="B95" s="12"/>
      <c r="C95" s="12"/>
      <c r="D95" s="17"/>
      <c r="E95" s="12"/>
      <c r="F95" s="12"/>
      <c r="G95" s="12"/>
      <c r="H95" s="12"/>
      <c r="I95" s="433"/>
    </row>
    <row r="96" spans="1:9" x14ac:dyDescent="0.2">
      <c r="A96" s="12"/>
      <c r="B96" s="12"/>
      <c r="C96" s="88"/>
      <c r="D96" s="290" t="s">
        <v>8</v>
      </c>
      <c r="E96" s="89" t="s">
        <v>9</v>
      </c>
      <c r="F96" s="290" t="s">
        <v>10</v>
      </c>
      <c r="G96" s="90" t="s">
        <v>11</v>
      </c>
      <c r="H96" s="290" t="s">
        <v>12</v>
      </c>
      <c r="I96" s="433"/>
    </row>
    <row r="97" spans="1:9" ht="15" x14ac:dyDescent="0.25">
      <c r="A97" s="436" t="s">
        <v>15</v>
      </c>
      <c r="B97" s="95">
        <v>191</v>
      </c>
      <c r="C97" s="96" t="s">
        <v>90</v>
      </c>
      <c r="D97" s="227" t="e">
        <f>VLOOKUP(B97,#REF!,7,0)</f>
        <v>#REF!</v>
      </c>
      <c r="E97" s="227" t="e">
        <f t="shared" ref="E97:E105" si="5">F97*$K$3</f>
        <v>#REF!</v>
      </c>
      <c r="F97" s="227" t="e">
        <f>VLOOKUP(B97,#REF!,7,0)</f>
        <v>#REF!</v>
      </c>
      <c r="G97" s="97" t="e">
        <f>D97/E97</f>
        <v>#REF!</v>
      </c>
      <c r="H97" s="333" t="e">
        <f>D97/F97</f>
        <v>#REF!</v>
      </c>
      <c r="I97" s="433"/>
    </row>
    <row r="98" spans="1:9" ht="15" x14ac:dyDescent="0.25">
      <c r="A98" s="437"/>
      <c r="B98" s="95">
        <v>249</v>
      </c>
      <c r="C98" s="96" t="s">
        <v>91</v>
      </c>
      <c r="D98" s="227" t="e">
        <f>VLOOKUP(B98,#REF!,7,0)</f>
        <v>#REF!</v>
      </c>
      <c r="E98" s="227" t="e">
        <f t="shared" si="5"/>
        <v>#REF!</v>
      </c>
      <c r="F98" s="227" t="e">
        <f>VLOOKUP(B98,#REF!,7,0)</f>
        <v>#REF!</v>
      </c>
      <c r="G98" s="97" t="e">
        <f t="shared" ref="G98:G106" si="6">D98/E98</f>
        <v>#REF!</v>
      </c>
      <c r="H98" s="333" t="e">
        <f t="shared" ref="H98:H106" si="7">D98/F98</f>
        <v>#REF!</v>
      </c>
      <c r="I98" s="433"/>
    </row>
    <row r="99" spans="1:9" ht="15" x14ac:dyDescent="0.25">
      <c r="A99" s="437"/>
      <c r="B99" s="95">
        <v>439</v>
      </c>
      <c r="C99" s="96" t="s">
        <v>92</v>
      </c>
      <c r="D99" s="227" t="e">
        <f>VLOOKUP(B99,#REF!,7,0)</f>
        <v>#REF!</v>
      </c>
      <c r="E99" s="227" t="e">
        <f t="shared" si="5"/>
        <v>#REF!</v>
      </c>
      <c r="F99" s="227" t="e">
        <f>VLOOKUP(B99,#REF!,7,0)</f>
        <v>#REF!</v>
      </c>
      <c r="G99" s="97" t="e">
        <f t="shared" si="6"/>
        <v>#REF!</v>
      </c>
      <c r="H99" s="333" t="e">
        <f t="shared" si="7"/>
        <v>#REF!</v>
      </c>
      <c r="I99" s="433"/>
    </row>
    <row r="100" spans="1:9" ht="15" x14ac:dyDescent="0.25">
      <c r="A100" s="437"/>
      <c r="B100" s="95">
        <v>440</v>
      </c>
      <c r="C100" s="96" t="s">
        <v>93</v>
      </c>
      <c r="D100" s="227" t="e">
        <f>VLOOKUP(B100,#REF!,7,0)</f>
        <v>#REF!</v>
      </c>
      <c r="E100" s="227" t="e">
        <f t="shared" si="5"/>
        <v>#REF!</v>
      </c>
      <c r="F100" s="227" t="e">
        <f>VLOOKUP(B100,#REF!,7,0)</f>
        <v>#REF!</v>
      </c>
      <c r="G100" s="97" t="e">
        <f t="shared" si="6"/>
        <v>#REF!</v>
      </c>
      <c r="H100" s="333" t="e">
        <f t="shared" si="7"/>
        <v>#REF!</v>
      </c>
      <c r="I100" s="433"/>
    </row>
    <row r="101" spans="1:9" ht="15" x14ac:dyDescent="0.25">
      <c r="A101" s="437"/>
      <c r="B101" s="95">
        <v>451</v>
      </c>
      <c r="C101" s="96" t="s">
        <v>94</v>
      </c>
      <c r="D101" s="227" t="e">
        <f>VLOOKUP(B101,#REF!,7,0)</f>
        <v>#REF!</v>
      </c>
      <c r="E101" s="227" t="e">
        <f t="shared" si="5"/>
        <v>#REF!</v>
      </c>
      <c r="F101" s="227" t="e">
        <f>VLOOKUP(B101,#REF!,7,0)</f>
        <v>#REF!</v>
      </c>
      <c r="G101" s="97" t="e">
        <f t="shared" si="6"/>
        <v>#REF!</v>
      </c>
      <c r="H101" s="333" t="e">
        <f t="shared" si="7"/>
        <v>#REF!</v>
      </c>
      <c r="I101" s="433"/>
    </row>
    <row r="102" spans="1:9" ht="15" x14ac:dyDescent="0.25">
      <c r="A102" s="437"/>
      <c r="B102" s="95">
        <v>464</v>
      </c>
      <c r="C102" s="96" t="s">
        <v>95</v>
      </c>
      <c r="D102" s="227" t="e">
        <f>VLOOKUP(B102,#REF!,7,0)</f>
        <v>#REF!</v>
      </c>
      <c r="E102" s="227" t="e">
        <f t="shared" si="5"/>
        <v>#REF!</v>
      </c>
      <c r="F102" s="227" t="e">
        <f>VLOOKUP(B102,#REF!,7,0)</f>
        <v>#REF!</v>
      </c>
      <c r="G102" s="97" t="e">
        <f t="shared" si="6"/>
        <v>#REF!</v>
      </c>
      <c r="H102" s="333" t="e">
        <f t="shared" si="7"/>
        <v>#REF!</v>
      </c>
      <c r="I102" s="433"/>
    </row>
    <row r="103" spans="1:9" ht="15" x14ac:dyDescent="0.25">
      <c r="A103" s="437"/>
      <c r="B103" s="95">
        <v>476</v>
      </c>
      <c r="C103" s="96" t="s">
        <v>96</v>
      </c>
      <c r="D103" s="227" t="e">
        <f>VLOOKUP(B103,#REF!,7,0)</f>
        <v>#REF!</v>
      </c>
      <c r="E103" s="227" t="e">
        <f t="shared" si="5"/>
        <v>#REF!</v>
      </c>
      <c r="F103" s="227" t="e">
        <f>VLOOKUP(B103,#REF!,7,0)</f>
        <v>#REF!</v>
      </c>
      <c r="G103" s="97" t="e">
        <f t="shared" si="6"/>
        <v>#REF!</v>
      </c>
      <c r="H103" s="333" t="e">
        <f t="shared" si="7"/>
        <v>#REF!</v>
      </c>
      <c r="I103" s="433"/>
    </row>
    <row r="104" spans="1:9" ht="15" x14ac:dyDescent="0.25">
      <c r="A104" s="437"/>
      <c r="B104" s="95">
        <v>508</v>
      </c>
      <c r="C104" s="96" t="s">
        <v>97</v>
      </c>
      <c r="D104" s="227" t="e">
        <f>VLOOKUP(B104,#REF!,7,0)</f>
        <v>#REF!</v>
      </c>
      <c r="E104" s="227" t="e">
        <f t="shared" si="5"/>
        <v>#REF!</v>
      </c>
      <c r="F104" s="227" t="e">
        <f>VLOOKUP(B104,#REF!,7,0)</f>
        <v>#REF!</v>
      </c>
      <c r="G104" s="97" t="e">
        <f t="shared" si="6"/>
        <v>#REF!</v>
      </c>
      <c r="H104" s="333" t="e">
        <f t="shared" si="7"/>
        <v>#REF!</v>
      </c>
      <c r="I104" s="433"/>
    </row>
    <row r="105" spans="1:9" ht="15.75" thickBot="1" x14ac:dyDescent="0.3">
      <c r="A105" s="438"/>
      <c r="B105" s="95">
        <v>772</v>
      </c>
      <c r="C105" s="96" t="s">
        <v>98</v>
      </c>
      <c r="D105" s="227" t="e">
        <f>VLOOKUP(B105,#REF!,7,0)</f>
        <v>#REF!</v>
      </c>
      <c r="E105" s="227" t="e">
        <f t="shared" si="5"/>
        <v>#REF!</v>
      </c>
      <c r="F105" s="227" t="e">
        <f>VLOOKUP(B105,#REF!,7,0)</f>
        <v>#REF!</v>
      </c>
      <c r="G105" s="97" t="e">
        <f t="shared" si="6"/>
        <v>#REF!</v>
      </c>
      <c r="H105" s="333" t="e">
        <f t="shared" si="7"/>
        <v>#REF!</v>
      </c>
      <c r="I105" s="433"/>
    </row>
    <row r="106" spans="1:9" ht="16.5" thickTop="1" thickBot="1" x14ac:dyDescent="0.25">
      <c r="A106" s="12"/>
      <c r="B106" s="60"/>
      <c r="C106" s="98" t="s">
        <v>7</v>
      </c>
      <c r="D106" s="228" t="e">
        <f>SUM(D97:D105)</f>
        <v>#REF!</v>
      </c>
      <c r="E106" s="228" t="e">
        <f>SUM(E97:E105)</f>
        <v>#REF!</v>
      </c>
      <c r="F106" s="228" t="e">
        <f>SUM(F97:F105)</f>
        <v>#REF!</v>
      </c>
      <c r="G106" s="94" t="e">
        <f t="shared" si="6"/>
        <v>#REF!</v>
      </c>
      <c r="H106" s="334" t="e">
        <f t="shared" si="7"/>
        <v>#REF!</v>
      </c>
      <c r="I106" s="433"/>
    </row>
    <row r="107" spans="1:9" ht="13.5" thickTop="1" x14ac:dyDescent="0.2">
      <c r="A107" s="12"/>
      <c r="B107" s="60"/>
      <c r="C107" s="12"/>
      <c r="D107" s="12"/>
      <c r="E107" s="12"/>
      <c r="F107" s="12"/>
      <c r="G107" s="12"/>
      <c r="H107" s="12"/>
      <c r="I107" s="433"/>
    </row>
    <row r="108" spans="1:9" x14ac:dyDescent="0.2">
      <c r="A108" s="12"/>
      <c r="B108" s="60"/>
      <c r="C108" s="12"/>
      <c r="D108" s="290" t="s">
        <v>8</v>
      </c>
      <c r="E108" s="368" t="s">
        <v>13</v>
      </c>
      <c r="F108" s="369"/>
      <c r="G108" s="89" t="s">
        <v>14</v>
      </c>
      <c r="H108" s="91"/>
      <c r="I108" s="433"/>
    </row>
    <row r="109" spans="1:9" ht="15" x14ac:dyDescent="0.25">
      <c r="A109" s="439" t="s">
        <v>16</v>
      </c>
      <c r="B109" s="95">
        <v>191</v>
      </c>
      <c r="C109" s="96" t="s">
        <v>90</v>
      </c>
      <c r="D109" s="291" t="e">
        <f>VLOOKUP(B109,#REF!,3,0)</f>
        <v>#REF!</v>
      </c>
      <c r="E109" s="443" t="e">
        <f>INDEX(#REF!,MATCH(B109,#REF!,0),MATCH(#REF!,#REF!,0))</f>
        <v>#REF!</v>
      </c>
      <c r="F109" s="443"/>
      <c r="G109" s="99" t="e">
        <f>(D109-E109)/E109</f>
        <v>#REF!</v>
      </c>
      <c r="H109" s="12"/>
      <c r="I109" s="433"/>
    </row>
    <row r="110" spans="1:9" ht="15" x14ac:dyDescent="0.25">
      <c r="A110" s="440"/>
      <c r="B110" s="95">
        <v>249</v>
      </c>
      <c r="C110" s="96" t="s">
        <v>91</v>
      </c>
      <c r="D110" s="291" t="e">
        <f>VLOOKUP(B110,#REF!,3,0)</f>
        <v>#REF!</v>
      </c>
      <c r="E110" s="443" t="e">
        <f>INDEX(#REF!,MATCH(B110,#REF!,0),MATCH(#REF!,#REF!,0))</f>
        <v>#REF!</v>
      </c>
      <c r="F110" s="443"/>
      <c r="G110" s="99" t="e">
        <f t="shared" ref="G110:G117" si="8">(D110-E110)/E110</f>
        <v>#REF!</v>
      </c>
      <c r="H110" s="12"/>
      <c r="I110" s="433"/>
    </row>
    <row r="111" spans="1:9" ht="15" x14ac:dyDescent="0.25">
      <c r="A111" s="440"/>
      <c r="B111" s="95">
        <v>439</v>
      </c>
      <c r="C111" s="96" t="s">
        <v>92</v>
      </c>
      <c r="D111" s="291" t="e">
        <f>VLOOKUP(B111,#REF!,3,0)</f>
        <v>#REF!</v>
      </c>
      <c r="E111" s="443" t="e">
        <f>INDEX(#REF!,MATCH(B111,#REF!,0),MATCH(#REF!,#REF!,0))</f>
        <v>#REF!</v>
      </c>
      <c r="F111" s="443"/>
      <c r="G111" s="99" t="e">
        <f t="shared" si="8"/>
        <v>#REF!</v>
      </c>
      <c r="H111" s="12"/>
      <c r="I111" s="433"/>
    </row>
    <row r="112" spans="1:9" ht="15" x14ac:dyDescent="0.25">
      <c r="A112" s="440"/>
      <c r="B112" s="95">
        <v>440</v>
      </c>
      <c r="C112" s="96" t="s">
        <v>93</v>
      </c>
      <c r="D112" s="291" t="e">
        <f>VLOOKUP(B112,#REF!,3,0)</f>
        <v>#REF!</v>
      </c>
      <c r="E112" s="443" t="e">
        <f>INDEX(#REF!,MATCH(B112,#REF!,0),MATCH(#REF!,#REF!,0))</f>
        <v>#REF!</v>
      </c>
      <c r="F112" s="443"/>
      <c r="G112" s="99" t="e">
        <f t="shared" si="8"/>
        <v>#REF!</v>
      </c>
      <c r="H112" s="12"/>
      <c r="I112" s="433"/>
    </row>
    <row r="113" spans="1:9" ht="15" x14ac:dyDescent="0.25">
      <c r="A113" s="440"/>
      <c r="B113" s="95">
        <v>451</v>
      </c>
      <c r="C113" s="96" t="s">
        <v>94</v>
      </c>
      <c r="D113" s="291" t="e">
        <f>VLOOKUP(B113,#REF!,3,0)</f>
        <v>#REF!</v>
      </c>
      <c r="E113" s="443" t="e">
        <f>INDEX(#REF!,MATCH(B113,#REF!,0),MATCH(#REF!,#REF!,0))</f>
        <v>#REF!</v>
      </c>
      <c r="F113" s="443"/>
      <c r="G113" s="99" t="e">
        <f t="shared" si="8"/>
        <v>#REF!</v>
      </c>
      <c r="H113" s="12"/>
      <c r="I113" s="433"/>
    </row>
    <row r="114" spans="1:9" ht="15" x14ac:dyDescent="0.25">
      <c r="A114" s="440"/>
      <c r="B114" s="95">
        <v>464</v>
      </c>
      <c r="C114" s="96" t="s">
        <v>95</v>
      </c>
      <c r="D114" s="291" t="e">
        <f>VLOOKUP(B114,#REF!,3,0)</f>
        <v>#REF!</v>
      </c>
      <c r="E114" s="443" t="e">
        <f>INDEX(#REF!,MATCH(B114,#REF!,0),MATCH(#REF!,#REF!,0))</f>
        <v>#REF!</v>
      </c>
      <c r="F114" s="443"/>
      <c r="G114" s="99" t="e">
        <f t="shared" si="8"/>
        <v>#REF!</v>
      </c>
      <c r="H114" s="26"/>
      <c r="I114" s="433"/>
    </row>
    <row r="115" spans="1:9" ht="15" x14ac:dyDescent="0.25">
      <c r="A115" s="440"/>
      <c r="B115" s="95">
        <v>476</v>
      </c>
      <c r="C115" s="96" t="s">
        <v>96</v>
      </c>
      <c r="D115" s="291" t="e">
        <f>VLOOKUP(B115,#REF!,3,0)</f>
        <v>#REF!</v>
      </c>
      <c r="E115" s="443" t="e">
        <f>INDEX(#REF!,MATCH(B115,#REF!,0),MATCH(#REF!,#REF!,0))</f>
        <v>#REF!</v>
      </c>
      <c r="F115" s="443"/>
      <c r="G115" s="99" t="e">
        <f t="shared" si="8"/>
        <v>#REF!</v>
      </c>
      <c r="H115" s="12"/>
      <c r="I115" s="433"/>
    </row>
    <row r="116" spans="1:9" ht="15" x14ac:dyDescent="0.25">
      <c r="A116" s="440"/>
      <c r="B116" s="95">
        <v>508</v>
      </c>
      <c r="C116" s="96" t="s">
        <v>97</v>
      </c>
      <c r="D116" s="291" t="e">
        <f>VLOOKUP(B116,#REF!,3,0)</f>
        <v>#REF!</v>
      </c>
      <c r="E116" s="443" t="e">
        <f>INDEX(#REF!,MATCH(B116,#REF!,0),MATCH(#REF!,#REF!,0))</f>
        <v>#REF!</v>
      </c>
      <c r="F116" s="443"/>
      <c r="G116" s="99" t="e">
        <f t="shared" si="8"/>
        <v>#REF!</v>
      </c>
      <c r="H116" s="12"/>
      <c r="I116" s="433"/>
    </row>
    <row r="117" spans="1:9" ht="15.75" thickBot="1" x14ac:dyDescent="0.3">
      <c r="A117" s="441"/>
      <c r="B117" s="95">
        <v>772</v>
      </c>
      <c r="C117" s="96" t="s">
        <v>98</v>
      </c>
      <c r="D117" s="291" t="e">
        <f>VLOOKUP(B117,#REF!,3,0)</f>
        <v>#REF!</v>
      </c>
      <c r="E117" s="443" t="e">
        <f>INDEX(#REF!,MATCH(B117,#REF!,0),MATCH(#REF!,#REF!,0))</f>
        <v>#REF!</v>
      </c>
      <c r="F117" s="443"/>
      <c r="G117" s="99" t="e">
        <f t="shared" si="8"/>
        <v>#REF!</v>
      </c>
      <c r="H117" s="12"/>
      <c r="I117" s="433"/>
    </row>
    <row r="118" spans="1:9" ht="16.5" thickTop="1" thickBot="1" x14ac:dyDescent="0.25">
      <c r="A118" s="13"/>
      <c r="B118" s="86"/>
      <c r="C118" s="98" t="s">
        <v>7</v>
      </c>
      <c r="D118" s="228" t="e">
        <f>SUM(D109:D116)</f>
        <v>#REF!</v>
      </c>
      <c r="E118" s="435" t="e">
        <f>SUM(E109:E117)</f>
        <v>#REF!</v>
      </c>
      <c r="F118" s="435"/>
      <c r="G118" s="100" t="e">
        <f>(D118-E118)/E118</f>
        <v>#REF!</v>
      </c>
      <c r="H118" s="12"/>
      <c r="I118" s="434"/>
    </row>
    <row r="119" spans="1:9" ht="13.5" thickTop="1" x14ac:dyDescent="0.2">
      <c r="I119" s="330"/>
    </row>
    <row r="120" spans="1:9" x14ac:dyDescent="0.2">
      <c r="I120" s="330"/>
    </row>
    <row r="121" spans="1:9" ht="12.75" customHeight="1" x14ac:dyDescent="0.2">
      <c r="A121" s="106"/>
      <c r="B121" s="107"/>
      <c r="C121" s="106"/>
      <c r="D121" s="108"/>
      <c r="E121" s="108"/>
      <c r="F121" s="108"/>
      <c r="G121" s="83" t="s">
        <v>23</v>
      </c>
      <c r="H121" s="331" t="s">
        <v>4</v>
      </c>
      <c r="I121" s="432" t="s">
        <v>106</v>
      </c>
    </row>
    <row r="122" spans="1:9" x14ac:dyDescent="0.2">
      <c r="A122" s="93" t="s">
        <v>101</v>
      </c>
      <c r="B122" s="92"/>
      <c r="C122" s="13"/>
      <c r="D122" s="12"/>
      <c r="E122" s="12"/>
      <c r="F122" s="12"/>
      <c r="G122" s="82">
        <f>DATE($L$2,$K$2+1,0)</f>
        <v>0</v>
      </c>
      <c r="H122" s="332">
        <f>$K$3</f>
        <v>0</v>
      </c>
      <c r="I122" s="433"/>
    </row>
    <row r="123" spans="1:9" x14ac:dyDescent="0.2">
      <c r="A123" s="12"/>
      <c r="B123" s="12"/>
      <c r="C123" s="12"/>
      <c r="D123" s="17"/>
      <c r="E123" s="12"/>
      <c r="F123" s="12"/>
      <c r="G123" s="12"/>
      <c r="H123" s="12"/>
      <c r="I123" s="433"/>
    </row>
    <row r="124" spans="1:9" x14ac:dyDescent="0.2">
      <c r="A124" s="12"/>
      <c r="B124" s="12"/>
      <c r="C124" s="88"/>
      <c r="D124" s="290" t="s">
        <v>8</v>
      </c>
      <c r="E124" s="89" t="s">
        <v>9</v>
      </c>
      <c r="F124" s="290" t="s">
        <v>10</v>
      </c>
      <c r="G124" s="90" t="s">
        <v>11</v>
      </c>
      <c r="H124" s="290" t="s">
        <v>12</v>
      </c>
      <c r="I124" s="433"/>
    </row>
    <row r="125" spans="1:9" ht="15" x14ac:dyDescent="0.25">
      <c r="A125" s="436" t="s">
        <v>15</v>
      </c>
      <c r="B125" s="95">
        <v>12</v>
      </c>
      <c r="C125" s="96" t="s">
        <v>90</v>
      </c>
      <c r="D125" s="291" t="e">
        <f>VLOOKUP(B125,#REF!,7,0)</f>
        <v>#REF!</v>
      </c>
      <c r="E125" s="291" t="e">
        <f>F125*$K$3</f>
        <v>#REF!</v>
      </c>
      <c r="F125" s="291" t="e">
        <f>VLOOKUP(B125,#REF!,7,0)</f>
        <v>#REF!</v>
      </c>
      <c r="G125" s="97" t="e">
        <f>D125/E125</f>
        <v>#REF!</v>
      </c>
      <c r="H125" s="333" t="e">
        <f>D125/F125</f>
        <v>#REF!</v>
      </c>
      <c r="I125" s="433"/>
    </row>
    <row r="126" spans="1:9" ht="15" x14ac:dyDescent="0.25">
      <c r="A126" s="437"/>
      <c r="B126" s="95">
        <v>93</v>
      </c>
      <c r="C126" s="96" t="s">
        <v>91</v>
      </c>
      <c r="D126" s="291" t="e">
        <f>VLOOKUP(B126,#REF!,7,0)</f>
        <v>#REF!</v>
      </c>
      <c r="E126" s="291" t="e">
        <f t="shared" ref="E126:E136" si="9">F126*$K$3</f>
        <v>#REF!</v>
      </c>
      <c r="F126" s="291" t="e">
        <f>VLOOKUP(B126,#REF!,7,0)</f>
        <v>#REF!</v>
      </c>
      <c r="G126" s="97" t="e">
        <f t="shared" ref="G126:G137" si="10">D126/E126</f>
        <v>#REF!</v>
      </c>
      <c r="H126" s="333" t="e">
        <f t="shared" ref="H126:H137" si="11">D126/F126</f>
        <v>#REF!</v>
      </c>
      <c r="I126" s="433"/>
    </row>
    <row r="127" spans="1:9" ht="15" x14ac:dyDescent="0.25">
      <c r="A127" s="437"/>
      <c r="B127" s="95">
        <v>117</v>
      </c>
      <c r="C127" s="96" t="s">
        <v>92</v>
      </c>
      <c r="D127" s="291" t="e">
        <f>VLOOKUP(B127,#REF!,7,0)</f>
        <v>#REF!</v>
      </c>
      <c r="E127" s="291" t="e">
        <f t="shared" si="9"/>
        <v>#REF!</v>
      </c>
      <c r="F127" s="291" t="e">
        <f>VLOOKUP(B127,#REF!,7,0)</f>
        <v>#REF!</v>
      </c>
      <c r="G127" s="97" t="e">
        <f t="shared" si="10"/>
        <v>#REF!</v>
      </c>
      <c r="H127" s="333" t="e">
        <f t="shared" si="11"/>
        <v>#REF!</v>
      </c>
      <c r="I127" s="433"/>
    </row>
    <row r="128" spans="1:9" ht="15" x14ac:dyDescent="0.25">
      <c r="A128" s="437"/>
      <c r="B128" s="95">
        <v>153</v>
      </c>
      <c r="C128" s="96" t="s">
        <v>93</v>
      </c>
      <c r="D128" s="291" t="e">
        <f>VLOOKUP(B128,#REF!,7,0)</f>
        <v>#REF!</v>
      </c>
      <c r="E128" s="291" t="e">
        <f t="shared" si="9"/>
        <v>#REF!</v>
      </c>
      <c r="F128" s="291" t="e">
        <f>VLOOKUP(B128,#REF!,7,0)</f>
        <v>#REF!</v>
      </c>
      <c r="G128" s="97" t="e">
        <f t="shared" si="10"/>
        <v>#REF!</v>
      </c>
      <c r="H128" s="333" t="e">
        <f t="shared" si="11"/>
        <v>#REF!</v>
      </c>
      <c r="I128" s="433"/>
    </row>
    <row r="129" spans="1:9" ht="15" x14ac:dyDescent="0.25">
      <c r="A129" s="437"/>
      <c r="B129" s="95">
        <v>182</v>
      </c>
      <c r="C129" s="96" t="s">
        <v>94</v>
      </c>
      <c r="D129" s="291" t="e">
        <f>VLOOKUP(B129,#REF!,7,0)</f>
        <v>#REF!</v>
      </c>
      <c r="E129" s="291" t="e">
        <f t="shared" si="9"/>
        <v>#REF!</v>
      </c>
      <c r="F129" s="291" t="e">
        <f>VLOOKUP(B129,#REF!,7,0)</f>
        <v>#REF!</v>
      </c>
      <c r="G129" s="97" t="e">
        <f t="shared" si="10"/>
        <v>#REF!</v>
      </c>
      <c r="H129" s="333" t="e">
        <f t="shared" si="11"/>
        <v>#REF!</v>
      </c>
      <c r="I129" s="433"/>
    </row>
    <row r="130" spans="1:9" ht="15" x14ac:dyDescent="0.25">
      <c r="A130" s="437"/>
      <c r="B130" s="95">
        <v>271</v>
      </c>
      <c r="C130" s="96" t="s">
        <v>95</v>
      </c>
      <c r="D130" s="291" t="e">
        <f>VLOOKUP(B130,#REF!,7,0)</f>
        <v>#REF!</v>
      </c>
      <c r="E130" s="291" t="e">
        <f t="shared" si="9"/>
        <v>#REF!</v>
      </c>
      <c r="F130" s="291" t="e">
        <f>VLOOKUP(B130,#REF!,7,0)</f>
        <v>#REF!</v>
      </c>
      <c r="G130" s="97" t="e">
        <f t="shared" si="10"/>
        <v>#REF!</v>
      </c>
      <c r="H130" s="333" t="e">
        <f t="shared" si="11"/>
        <v>#REF!</v>
      </c>
      <c r="I130" s="433"/>
    </row>
    <row r="131" spans="1:9" ht="15" x14ac:dyDescent="0.25">
      <c r="A131" s="437"/>
      <c r="B131" s="95">
        <v>407</v>
      </c>
      <c r="C131" s="96" t="s">
        <v>96</v>
      </c>
      <c r="D131" s="291" t="e">
        <f>VLOOKUP(B131,#REF!,7,0)</f>
        <v>#REF!</v>
      </c>
      <c r="E131" s="291" t="e">
        <f t="shared" si="9"/>
        <v>#REF!</v>
      </c>
      <c r="F131" s="291" t="e">
        <f>VLOOKUP(B131,#REF!,7,0)</f>
        <v>#REF!</v>
      </c>
      <c r="G131" s="97" t="e">
        <f t="shared" si="10"/>
        <v>#REF!</v>
      </c>
      <c r="H131" s="333" t="e">
        <f t="shared" si="11"/>
        <v>#REF!</v>
      </c>
      <c r="I131" s="433"/>
    </row>
    <row r="132" spans="1:9" ht="15" x14ac:dyDescent="0.25">
      <c r="A132" s="437"/>
      <c r="B132" s="95">
        <v>424</v>
      </c>
      <c r="C132" s="96" t="s">
        <v>97</v>
      </c>
      <c r="D132" s="291" t="e">
        <f>VLOOKUP(B132,#REF!,7,0)</f>
        <v>#REF!</v>
      </c>
      <c r="E132" s="291" t="e">
        <f t="shared" si="9"/>
        <v>#REF!</v>
      </c>
      <c r="F132" s="291" t="e">
        <f>VLOOKUP(B132,#REF!,7,0)</f>
        <v>#REF!</v>
      </c>
      <c r="G132" s="97" t="e">
        <f t="shared" si="10"/>
        <v>#REF!</v>
      </c>
      <c r="H132" s="333" t="e">
        <f t="shared" si="11"/>
        <v>#REF!</v>
      </c>
      <c r="I132" s="433"/>
    </row>
    <row r="133" spans="1:9" ht="15" x14ac:dyDescent="0.25">
      <c r="A133" s="437"/>
      <c r="B133" s="95">
        <v>502</v>
      </c>
      <c r="C133" s="96" t="s">
        <v>98</v>
      </c>
      <c r="D133" s="291" t="e">
        <f>VLOOKUP(B133,#REF!,7,0)</f>
        <v>#REF!</v>
      </c>
      <c r="E133" s="291" t="e">
        <f t="shared" si="9"/>
        <v>#REF!</v>
      </c>
      <c r="F133" s="291" t="e">
        <f>VLOOKUP(B133,#REF!,7,0)</f>
        <v>#REF!</v>
      </c>
      <c r="G133" s="97" t="e">
        <f t="shared" si="10"/>
        <v>#REF!</v>
      </c>
      <c r="H133" s="333" t="e">
        <f t="shared" si="11"/>
        <v>#REF!</v>
      </c>
      <c r="I133" s="433"/>
    </row>
    <row r="134" spans="1:9" ht="15" x14ac:dyDescent="0.25">
      <c r="A134" s="437"/>
      <c r="B134" s="95">
        <v>533</v>
      </c>
      <c r="C134" s="96" t="s">
        <v>99</v>
      </c>
      <c r="D134" s="291" t="e">
        <f>VLOOKUP(B134,#REF!,7,0)</f>
        <v>#REF!</v>
      </c>
      <c r="E134" s="291" t="e">
        <f t="shared" si="9"/>
        <v>#REF!</v>
      </c>
      <c r="F134" s="291" t="e">
        <f>VLOOKUP(B134,#REF!,7,0)</f>
        <v>#REF!</v>
      </c>
      <c r="G134" s="97" t="e">
        <f t="shared" si="10"/>
        <v>#REF!</v>
      </c>
      <c r="H134" s="333" t="e">
        <f t="shared" si="11"/>
        <v>#REF!</v>
      </c>
      <c r="I134" s="433"/>
    </row>
    <row r="135" spans="1:9" ht="15" x14ac:dyDescent="0.25">
      <c r="A135" s="437"/>
      <c r="B135" s="95">
        <v>719</v>
      </c>
      <c r="C135" s="96" t="s">
        <v>102</v>
      </c>
      <c r="D135" s="291" t="e">
        <f>VLOOKUP(B135,#REF!,7,0)</f>
        <v>#REF!</v>
      </c>
      <c r="E135" s="291" t="e">
        <f t="shared" si="9"/>
        <v>#REF!</v>
      </c>
      <c r="F135" s="291" t="e">
        <f>VLOOKUP(B135,#REF!,7,0)</f>
        <v>#REF!</v>
      </c>
      <c r="G135" s="97" t="e">
        <f t="shared" si="10"/>
        <v>#REF!</v>
      </c>
      <c r="H135" s="333" t="e">
        <f t="shared" si="11"/>
        <v>#REF!</v>
      </c>
      <c r="I135" s="433"/>
    </row>
    <row r="136" spans="1:9" ht="15.75" thickBot="1" x14ac:dyDescent="0.3">
      <c r="A136" s="438"/>
      <c r="B136" s="95">
        <v>731</v>
      </c>
      <c r="C136" s="96" t="s">
        <v>103</v>
      </c>
      <c r="D136" s="291" t="e">
        <f>VLOOKUP(B136,#REF!,7,0)</f>
        <v>#REF!</v>
      </c>
      <c r="E136" s="291" t="e">
        <f t="shared" si="9"/>
        <v>#REF!</v>
      </c>
      <c r="F136" s="291" t="e">
        <f>VLOOKUP(B136,#REF!,7,0)</f>
        <v>#REF!</v>
      </c>
      <c r="G136" s="97" t="e">
        <f t="shared" si="10"/>
        <v>#REF!</v>
      </c>
      <c r="H136" s="333" t="e">
        <f t="shared" si="11"/>
        <v>#REF!</v>
      </c>
      <c r="I136" s="433"/>
    </row>
    <row r="137" spans="1:9" ht="16.5" thickTop="1" thickBot="1" x14ac:dyDescent="0.25">
      <c r="A137" s="12"/>
      <c r="B137" s="60"/>
      <c r="C137" s="98" t="s">
        <v>7</v>
      </c>
      <c r="D137" s="292" t="e">
        <f>SUM(D125:D136)</f>
        <v>#REF!</v>
      </c>
      <c r="E137" s="292" t="e">
        <f>SUM(E125:E136)</f>
        <v>#REF!</v>
      </c>
      <c r="F137" s="292" t="e">
        <f>SUM(F125:F136)</f>
        <v>#REF!</v>
      </c>
      <c r="G137" s="94" t="e">
        <f t="shared" si="10"/>
        <v>#REF!</v>
      </c>
      <c r="H137" s="334" t="e">
        <f t="shared" si="11"/>
        <v>#REF!</v>
      </c>
      <c r="I137" s="433"/>
    </row>
    <row r="138" spans="1:9" ht="13.5" thickTop="1" x14ac:dyDescent="0.2">
      <c r="A138" s="12"/>
      <c r="B138" s="60"/>
      <c r="C138" s="12"/>
      <c r="D138" s="12"/>
      <c r="E138" s="12"/>
      <c r="F138" s="12"/>
      <c r="G138" s="12"/>
      <c r="H138" s="12"/>
      <c r="I138" s="433"/>
    </row>
    <row r="139" spans="1:9" x14ac:dyDescent="0.2">
      <c r="A139" s="12"/>
      <c r="B139" s="60"/>
      <c r="C139" s="12"/>
      <c r="D139" s="290" t="s">
        <v>8</v>
      </c>
      <c r="E139" s="368" t="s">
        <v>13</v>
      </c>
      <c r="F139" s="369"/>
      <c r="G139" s="89" t="s">
        <v>14</v>
      </c>
      <c r="H139" s="91"/>
      <c r="I139" s="433"/>
    </row>
    <row r="140" spans="1:9" ht="15" x14ac:dyDescent="0.25">
      <c r="A140" s="439" t="s">
        <v>16</v>
      </c>
      <c r="B140" s="95">
        <v>12</v>
      </c>
      <c r="C140" s="96" t="s">
        <v>90</v>
      </c>
      <c r="D140" s="293" t="e">
        <f>VLOOKUP(B140,#REF!,3,0)</f>
        <v>#REF!</v>
      </c>
      <c r="E140" s="442" t="e">
        <f>INDEX(#REF!,MATCH(B140,#REF!,0),MATCH(#REF!,#REF!,0))</f>
        <v>#REF!</v>
      </c>
      <c r="F140" s="442"/>
      <c r="G140" s="99" t="e">
        <f>(D140-E140)/E140</f>
        <v>#REF!</v>
      </c>
      <c r="H140" s="12"/>
      <c r="I140" s="433"/>
    </row>
    <row r="141" spans="1:9" ht="15" x14ac:dyDescent="0.25">
      <c r="A141" s="440"/>
      <c r="B141" s="95">
        <v>93</v>
      </c>
      <c r="C141" s="96" t="s">
        <v>91</v>
      </c>
      <c r="D141" s="293" t="e">
        <f>VLOOKUP(B141,#REF!,3,0)</f>
        <v>#REF!</v>
      </c>
      <c r="E141" s="442" t="e">
        <f>INDEX(#REF!,MATCH(B141,#REF!,0),MATCH(#REF!,#REF!,0))</f>
        <v>#REF!</v>
      </c>
      <c r="F141" s="442"/>
      <c r="G141" s="99" t="e">
        <f t="shared" ref="G141:G151" si="12">(D141-E141)/E141</f>
        <v>#REF!</v>
      </c>
      <c r="H141" s="12"/>
      <c r="I141" s="433"/>
    </row>
    <row r="142" spans="1:9" ht="15" x14ac:dyDescent="0.25">
      <c r="A142" s="440"/>
      <c r="B142" s="95">
        <v>117</v>
      </c>
      <c r="C142" s="96" t="s">
        <v>92</v>
      </c>
      <c r="D142" s="293" t="e">
        <f>VLOOKUP(B142,#REF!,3,0)</f>
        <v>#REF!</v>
      </c>
      <c r="E142" s="442" t="e">
        <f>INDEX(#REF!,MATCH(B142,#REF!,0),MATCH(#REF!,#REF!,0))</f>
        <v>#REF!</v>
      </c>
      <c r="F142" s="442"/>
      <c r="G142" s="99" t="e">
        <f t="shared" si="12"/>
        <v>#REF!</v>
      </c>
      <c r="H142" s="12"/>
      <c r="I142" s="433"/>
    </row>
    <row r="143" spans="1:9" ht="15" x14ac:dyDescent="0.25">
      <c r="A143" s="440"/>
      <c r="B143" s="95">
        <v>153</v>
      </c>
      <c r="C143" s="96" t="s">
        <v>93</v>
      </c>
      <c r="D143" s="293" t="e">
        <f>VLOOKUP(B143,#REF!,3,0)</f>
        <v>#REF!</v>
      </c>
      <c r="E143" s="442" t="e">
        <f>INDEX(#REF!,MATCH(B143,#REF!,0),MATCH(#REF!,#REF!,0))</f>
        <v>#REF!</v>
      </c>
      <c r="F143" s="442"/>
      <c r="G143" s="99" t="e">
        <f t="shared" si="12"/>
        <v>#REF!</v>
      </c>
      <c r="H143" s="12"/>
      <c r="I143" s="433"/>
    </row>
    <row r="144" spans="1:9" ht="15" x14ac:dyDescent="0.25">
      <c r="A144" s="440"/>
      <c r="B144" s="95">
        <v>182</v>
      </c>
      <c r="C144" s="96" t="s">
        <v>94</v>
      </c>
      <c r="D144" s="293" t="e">
        <f>VLOOKUP(B144,#REF!,3,0)</f>
        <v>#REF!</v>
      </c>
      <c r="E144" s="442" t="e">
        <f>INDEX(#REF!,MATCH(B144,#REF!,0),MATCH(#REF!,#REF!,0))</f>
        <v>#REF!</v>
      </c>
      <c r="F144" s="442"/>
      <c r="G144" s="99" t="e">
        <f t="shared" si="12"/>
        <v>#REF!</v>
      </c>
      <c r="H144" s="12"/>
      <c r="I144" s="433"/>
    </row>
    <row r="145" spans="1:13" ht="15" x14ac:dyDescent="0.25">
      <c r="A145" s="440"/>
      <c r="B145" s="95">
        <v>271</v>
      </c>
      <c r="C145" s="96" t="s">
        <v>95</v>
      </c>
      <c r="D145" s="293" t="e">
        <f>VLOOKUP(B145,#REF!,3,0)</f>
        <v>#REF!</v>
      </c>
      <c r="E145" s="442" t="e">
        <f>INDEX(#REF!,MATCH(B145,#REF!,0),MATCH(#REF!,#REF!,0))</f>
        <v>#REF!</v>
      </c>
      <c r="F145" s="442"/>
      <c r="G145" s="99" t="e">
        <f t="shared" si="12"/>
        <v>#REF!</v>
      </c>
      <c r="H145" s="12"/>
      <c r="I145" s="433"/>
    </row>
    <row r="146" spans="1:13" ht="15" x14ac:dyDescent="0.25">
      <c r="A146" s="440"/>
      <c r="B146" s="95">
        <v>407</v>
      </c>
      <c r="C146" s="96" t="s">
        <v>96</v>
      </c>
      <c r="D146" s="293" t="e">
        <f>VLOOKUP(B146,#REF!,3,0)</f>
        <v>#REF!</v>
      </c>
      <c r="E146" s="442" t="e">
        <f>INDEX(#REF!,MATCH(B146,#REF!,0),MATCH(#REF!,#REF!,0))</f>
        <v>#REF!</v>
      </c>
      <c r="F146" s="442"/>
      <c r="G146" s="99" t="e">
        <f t="shared" si="12"/>
        <v>#REF!</v>
      </c>
      <c r="H146" s="12"/>
      <c r="I146" s="433"/>
    </row>
    <row r="147" spans="1:13" ht="15" x14ac:dyDescent="0.25">
      <c r="A147" s="440"/>
      <c r="B147" s="95">
        <v>424</v>
      </c>
      <c r="C147" s="96" t="s">
        <v>97</v>
      </c>
      <c r="D147" s="293" t="e">
        <f>VLOOKUP(B147,#REF!,3,0)</f>
        <v>#REF!</v>
      </c>
      <c r="E147" s="442" t="e">
        <f>INDEX(#REF!,MATCH(B147,#REF!,0),MATCH(#REF!,#REF!,0))</f>
        <v>#REF!</v>
      </c>
      <c r="F147" s="442"/>
      <c r="G147" s="99" t="e">
        <f t="shared" si="12"/>
        <v>#REF!</v>
      </c>
      <c r="H147" s="12"/>
      <c r="I147" s="433"/>
    </row>
    <row r="148" spans="1:13" ht="15" x14ac:dyDescent="0.25">
      <c r="A148" s="440"/>
      <c r="B148" s="95">
        <v>502</v>
      </c>
      <c r="C148" s="96" t="s">
        <v>98</v>
      </c>
      <c r="D148" s="293" t="e">
        <f>VLOOKUP(B148,#REF!,3,0)</f>
        <v>#REF!</v>
      </c>
      <c r="E148" s="442" t="e">
        <f>INDEX(#REF!,MATCH(B148,#REF!,0),MATCH(#REF!,#REF!,0))</f>
        <v>#REF!</v>
      </c>
      <c r="F148" s="442"/>
      <c r="G148" s="99" t="e">
        <f t="shared" si="12"/>
        <v>#REF!</v>
      </c>
      <c r="H148" s="26"/>
      <c r="I148" s="433"/>
    </row>
    <row r="149" spans="1:13" ht="15" x14ac:dyDescent="0.25">
      <c r="A149" s="440"/>
      <c r="B149" s="95">
        <v>533</v>
      </c>
      <c r="C149" s="96" t="s">
        <v>99</v>
      </c>
      <c r="D149" s="293" t="e">
        <f>VLOOKUP(B149,#REF!,3,0)</f>
        <v>#REF!</v>
      </c>
      <c r="E149" s="442" t="e">
        <f>INDEX(#REF!,MATCH(B149,#REF!,0),MATCH(#REF!,#REF!,0))</f>
        <v>#REF!</v>
      </c>
      <c r="F149" s="442"/>
      <c r="G149" s="99" t="e">
        <f t="shared" si="12"/>
        <v>#REF!</v>
      </c>
      <c r="H149" s="12"/>
      <c r="I149" s="433"/>
    </row>
    <row r="150" spans="1:13" ht="15" x14ac:dyDescent="0.25">
      <c r="A150" s="440"/>
      <c r="B150" s="95">
        <v>719</v>
      </c>
      <c r="C150" s="96" t="s">
        <v>102</v>
      </c>
      <c r="D150" s="293" t="e">
        <f>VLOOKUP(B150,#REF!,3,0)</f>
        <v>#REF!</v>
      </c>
      <c r="E150" s="442" t="e">
        <f>INDEX(#REF!,MATCH(B150,#REF!,0),MATCH(#REF!,#REF!,0))</f>
        <v>#REF!</v>
      </c>
      <c r="F150" s="442"/>
      <c r="G150" s="99" t="e">
        <f t="shared" si="12"/>
        <v>#REF!</v>
      </c>
      <c r="H150" s="12"/>
      <c r="I150" s="433"/>
    </row>
    <row r="151" spans="1:13" ht="15.75" thickBot="1" x14ac:dyDescent="0.3">
      <c r="A151" s="441"/>
      <c r="B151" s="95">
        <v>731</v>
      </c>
      <c r="C151" s="96" t="s">
        <v>103</v>
      </c>
      <c r="D151" s="293" t="e">
        <f>VLOOKUP(B151,#REF!,3,0)</f>
        <v>#REF!</v>
      </c>
      <c r="E151" s="442" t="e">
        <f>INDEX(#REF!,MATCH(B151,#REF!,0),MATCH(#REF!,#REF!,0))</f>
        <v>#REF!</v>
      </c>
      <c r="F151" s="442"/>
      <c r="G151" s="99" t="e">
        <f t="shared" si="12"/>
        <v>#REF!</v>
      </c>
      <c r="H151" s="12"/>
      <c r="I151" s="433"/>
    </row>
    <row r="152" spans="1:13" ht="16.5" thickTop="1" thickBot="1" x14ac:dyDescent="0.25">
      <c r="A152" s="13"/>
      <c r="B152" s="86"/>
      <c r="C152" s="98" t="s">
        <v>7</v>
      </c>
      <c r="D152" s="226" t="e">
        <f>SUM(D140:D150)</f>
        <v>#REF!</v>
      </c>
      <c r="E152" s="431" t="e">
        <f>SUM(E140:E151)</f>
        <v>#REF!</v>
      </c>
      <c r="F152" s="431"/>
      <c r="G152" s="100" t="e">
        <f>(D152-E152)/E152</f>
        <v>#REF!</v>
      </c>
      <c r="H152" s="12"/>
      <c r="I152" s="434"/>
    </row>
    <row r="153" spans="1:13" ht="13.5" thickTop="1" x14ac:dyDescent="0.2"/>
    <row r="154" spans="1:13" ht="12.75" customHeight="1" x14ac:dyDescent="0.2">
      <c r="A154" s="106"/>
      <c r="B154" s="107"/>
      <c r="C154" s="106"/>
      <c r="D154" s="108"/>
      <c r="E154" s="108"/>
      <c r="F154" s="108"/>
      <c r="G154" s="83" t="s">
        <v>23</v>
      </c>
      <c r="H154" s="331" t="s">
        <v>4</v>
      </c>
      <c r="I154" s="432" t="s">
        <v>107</v>
      </c>
      <c r="K154" s="320"/>
      <c r="L154" s="320"/>
      <c r="M154" s="320"/>
    </row>
    <row r="155" spans="1:13" x14ac:dyDescent="0.2">
      <c r="A155" s="93" t="s">
        <v>108</v>
      </c>
      <c r="B155" s="92"/>
      <c r="C155" s="13"/>
      <c r="D155" s="12"/>
      <c r="E155" s="12"/>
      <c r="F155" s="12"/>
      <c r="G155" s="82">
        <f>DATE($L$2,$K$2+1,0)</f>
        <v>0</v>
      </c>
      <c r="H155" s="332">
        <f>$K$3</f>
        <v>0</v>
      </c>
      <c r="I155" s="433"/>
      <c r="K155" s="320"/>
      <c r="L155" s="320"/>
      <c r="M155" s="320"/>
    </row>
    <row r="156" spans="1:13" x14ac:dyDescent="0.2">
      <c r="A156" s="12"/>
      <c r="B156" s="12"/>
      <c r="C156" s="12"/>
      <c r="D156" s="17"/>
      <c r="E156" s="12"/>
      <c r="F156" s="12"/>
      <c r="G156" s="12"/>
      <c r="H156" s="12"/>
      <c r="I156" s="433"/>
      <c r="K156" s="320"/>
      <c r="L156" s="320"/>
      <c r="M156" s="320"/>
    </row>
    <row r="157" spans="1:13" x14ac:dyDescent="0.2">
      <c r="A157" s="12"/>
      <c r="B157" s="12"/>
      <c r="C157" s="88"/>
      <c r="D157" s="316" t="s">
        <v>8</v>
      </c>
      <c r="E157" s="89" t="s">
        <v>9</v>
      </c>
      <c r="F157" s="316" t="s">
        <v>10</v>
      </c>
      <c r="G157" s="90" t="s">
        <v>11</v>
      </c>
      <c r="H157" s="316" t="s">
        <v>12</v>
      </c>
      <c r="I157" s="433"/>
      <c r="K157" s="320"/>
      <c r="L157" s="320"/>
      <c r="M157" s="320"/>
    </row>
    <row r="158" spans="1:13" ht="15" x14ac:dyDescent="0.25">
      <c r="A158" s="436" t="s">
        <v>15</v>
      </c>
      <c r="B158" s="95">
        <v>12</v>
      </c>
      <c r="C158" s="96" t="s">
        <v>90</v>
      </c>
      <c r="D158" s="318" t="e">
        <f>VLOOKUP(B158,#REF!,7,0)</f>
        <v>#REF!</v>
      </c>
      <c r="E158" s="318" t="e">
        <f>F158*$K$3</f>
        <v>#REF!</v>
      </c>
      <c r="F158" s="318" t="e">
        <f>VLOOKUP(B158,#REF!,7,0)</f>
        <v>#REF!</v>
      </c>
      <c r="G158" s="97" t="e">
        <f>D158/E158</f>
        <v>#REF!</v>
      </c>
      <c r="H158" s="333" t="e">
        <f>D158/F158</f>
        <v>#REF!</v>
      </c>
      <c r="I158" s="433"/>
      <c r="K158" s="320"/>
      <c r="L158" s="320"/>
      <c r="M158" s="320"/>
    </row>
    <row r="159" spans="1:13" ht="15" x14ac:dyDescent="0.25">
      <c r="A159" s="437"/>
      <c r="B159" s="95">
        <v>93</v>
      </c>
      <c r="C159" s="96" t="s">
        <v>91</v>
      </c>
      <c r="D159" s="318" t="e">
        <f>VLOOKUP(B159,#REF!,7,0)</f>
        <v>#REF!</v>
      </c>
      <c r="E159" s="318" t="e">
        <f t="shared" ref="E159:E169" si="13">F159*$K$3</f>
        <v>#REF!</v>
      </c>
      <c r="F159" s="318" t="e">
        <f>VLOOKUP(B159,#REF!,7,0)</f>
        <v>#REF!</v>
      </c>
      <c r="G159" s="97" t="e">
        <f t="shared" ref="G159:G170" si="14">D159/E159</f>
        <v>#REF!</v>
      </c>
      <c r="H159" s="333" t="e">
        <f t="shared" ref="H159:H170" si="15">D159/F159</f>
        <v>#REF!</v>
      </c>
      <c r="I159" s="433"/>
      <c r="K159" s="320"/>
      <c r="L159" s="320"/>
      <c r="M159" s="320"/>
    </row>
    <row r="160" spans="1:13" ht="15" x14ac:dyDescent="0.25">
      <c r="A160" s="437"/>
      <c r="B160" s="95">
        <v>117</v>
      </c>
      <c r="C160" s="96" t="s">
        <v>92</v>
      </c>
      <c r="D160" s="318" t="e">
        <f>VLOOKUP(B160,#REF!,7,0)</f>
        <v>#REF!</v>
      </c>
      <c r="E160" s="318" t="e">
        <f t="shared" si="13"/>
        <v>#REF!</v>
      </c>
      <c r="F160" s="318" t="e">
        <f>VLOOKUP(B160,#REF!,7,0)</f>
        <v>#REF!</v>
      </c>
      <c r="G160" s="97" t="e">
        <f t="shared" si="14"/>
        <v>#REF!</v>
      </c>
      <c r="H160" s="333" t="e">
        <f t="shared" si="15"/>
        <v>#REF!</v>
      </c>
      <c r="I160" s="433"/>
      <c r="K160" s="320"/>
      <c r="L160" s="320"/>
      <c r="M160" s="320"/>
    </row>
    <row r="161" spans="1:13" ht="15" x14ac:dyDescent="0.25">
      <c r="A161" s="437"/>
      <c r="B161" s="95">
        <v>153</v>
      </c>
      <c r="C161" s="96" t="s">
        <v>93</v>
      </c>
      <c r="D161" s="318" t="e">
        <f>VLOOKUP(B161,#REF!,7,0)</f>
        <v>#REF!</v>
      </c>
      <c r="E161" s="318" t="e">
        <f t="shared" si="13"/>
        <v>#REF!</v>
      </c>
      <c r="F161" s="318" t="e">
        <f>VLOOKUP(B161,#REF!,7,0)</f>
        <v>#REF!</v>
      </c>
      <c r="G161" s="97" t="e">
        <f t="shared" si="14"/>
        <v>#REF!</v>
      </c>
      <c r="H161" s="333" t="e">
        <f t="shared" si="15"/>
        <v>#REF!</v>
      </c>
      <c r="I161" s="433"/>
      <c r="K161" s="320"/>
      <c r="L161" s="320"/>
      <c r="M161" s="320"/>
    </row>
    <row r="162" spans="1:13" ht="15" x14ac:dyDescent="0.25">
      <c r="A162" s="437"/>
      <c r="B162" s="95">
        <v>182</v>
      </c>
      <c r="C162" s="96" t="s">
        <v>94</v>
      </c>
      <c r="D162" s="318" t="e">
        <f>VLOOKUP(B162,#REF!,7,0)</f>
        <v>#REF!</v>
      </c>
      <c r="E162" s="318" t="e">
        <f t="shared" si="13"/>
        <v>#REF!</v>
      </c>
      <c r="F162" s="318" t="e">
        <f>VLOOKUP(B162,#REF!,7,0)</f>
        <v>#REF!</v>
      </c>
      <c r="G162" s="97" t="e">
        <f t="shared" si="14"/>
        <v>#REF!</v>
      </c>
      <c r="H162" s="333" t="e">
        <f t="shared" si="15"/>
        <v>#REF!</v>
      </c>
      <c r="I162" s="433"/>
      <c r="K162" s="320"/>
      <c r="L162" s="320"/>
      <c r="M162" s="320"/>
    </row>
    <row r="163" spans="1:13" ht="15" x14ac:dyDescent="0.25">
      <c r="A163" s="437"/>
      <c r="B163" s="95">
        <v>271</v>
      </c>
      <c r="C163" s="96" t="s">
        <v>95</v>
      </c>
      <c r="D163" s="318" t="e">
        <f>VLOOKUP(B163,#REF!,7,0)</f>
        <v>#REF!</v>
      </c>
      <c r="E163" s="318" t="e">
        <f t="shared" si="13"/>
        <v>#REF!</v>
      </c>
      <c r="F163" s="318" t="e">
        <f>VLOOKUP(B163,#REF!,7,0)</f>
        <v>#REF!</v>
      </c>
      <c r="G163" s="97" t="e">
        <f t="shared" si="14"/>
        <v>#REF!</v>
      </c>
      <c r="H163" s="333" t="e">
        <f t="shared" si="15"/>
        <v>#REF!</v>
      </c>
      <c r="I163" s="433"/>
      <c r="K163" s="320"/>
      <c r="L163" s="320"/>
      <c r="M163" s="320"/>
    </row>
    <row r="164" spans="1:13" ht="15" x14ac:dyDescent="0.25">
      <c r="A164" s="437"/>
      <c r="B164" s="95">
        <v>407</v>
      </c>
      <c r="C164" s="96" t="s">
        <v>96</v>
      </c>
      <c r="D164" s="318" t="e">
        <f>VLOOKUP(B164,#REF!,7,0)</f>
        <v>#REF!</v>
      </c>
      <c r="E164" s="318" t="e">
        <f t="shared" si="13"/>
        <v>#REF!</v>
      </c>
      <c r="F164" s="318" t="e">
        <f>VLOOKUP(B164,#REF!,7,0)</f>
        <v>#REF!</v>
      </c>
      <c r="G164" s="97" t="e">
        <f t="shared" si="14"/>
        <v>#REF!</v>
      </c>
      <c r="H164" s="333" t="e">
        <f t="shared" si="15"/>
        <v>#REF!</v>
      </c>
      <c r="I164" s="433"/>
      <c r="K164" s="320"/>
      <c r="L164" s="320"/>
      <c r="M164" s="320"/>
    </row>
    <row r="165" spans="1:13" ht="15" x14ac:dyDescent="0.25">
      <c r="A165" s="437"/>
      <c r="B165" s="95">
        <v>424</v>
      </c>
      <c r="C165" s="96" t="s">
        <v>97</v>
      </c>
      <c r="D165" s="318" t="e">
        <f>VLOOKUP(B165,#REF!,7,0)</f>
        <v>#REF!</v>
      </c>
      <c r="E165" s="318" t="e">
        <f t="shared" si="13"/>
        <v>#REF!</v>
      </c>
      <c r="F165" s="318" t="e">
        <f>VLOOKUP(B165,#REF!,7,0)</f>
        <v>#REF!</v>
      </c>
      <c r="G165" s="97" t="e">
        <f t="shared" si="14"/>
        <v>#REF!</v>
      </c>
      <c r="H165" s="333" t="e">
        <f t="shared" si="15"/>
        <v>#REF!</v>
      </c>
      <c r="I165" s="433"/>
      <c r="K165" s="320"/>
      <c r="L165" s="320"/>
      <c r="M165" s="320"/>
    </row>
    <row r="166" spans="1:13" ht="15" x14ac:dyDescent="0.25">
      <c r="A166" s="437"/>
      <c r="B166" s="95">
        <v>502</v>
      </c>
      <c r="C166" s="96" t="s">
        <v>98</v>
      </c>
      <c r="D166" s="318" t="e">
        <f>VLOOKUP(B166,#REF!,7,0)</f>
        <v>#REF!</v>
      </c>
      <c r="E166" s="318" t="e">
        <f t="shared" si="13"/>
        <v>#REF!</v>
      </c>
      <c r="F166" s="318" t="e">
        <f>VLOOKUP(B166,#REF!,7,0)</f>
        <v>#REF!</v>
      </c>
      <c r="G166" s="97" t="e">
        <f t="shared" si="14"/>
        <v>#REF!</v>
      </c>
      <c r="H166" s="333" t="e">
        <f t="shared" si="15"/>
        <v>#REF!</v>
      </c>
      <c r="I166" s="433"/>
      <c r="K166" s="320"/>
      <c r="L166" s="320"/>
      <c r="M166" s="320"/>
    </row>
    <row r="167" spans="1:13" ht="15" x14ac:dyDescent="0.25">
      <c r="A167" s="437"/>
      <c r="B167" s="95">
        <v>533</v>
      </c>
      <c r="C167" s="96" t="s">
        <v>99</v>
      </c>
      <c r="D167" s="318" t="e">
        <f>VLOOKUP(B167,#REF!,7,0)</f>
        <v>#REF!</v>
      </c>
      <c r="E167" s="318" t="e">
        <f t="shared" si="13"/>
        <v>#REF!</v>
      </c>
      <c r="F167" s="318" t="e">
        <f>VLOOKUP(B167,#REF!,7,0)</f>
        <v>#REF!</v>
      </c>
      <c r="G167" s="97" t="e">
        <f t="shared" si="14"/>
        <v>#REF!</v>
      </c>
      <c r="H167" s="333" t="e">
        <f t="shared" si="15"/>
        <v>#REF!</v>
      </c>
      <c r="I167" s="433"/>
      <c r="K167" s="320"/>
      <c r="L167" s="320"/>
      <c r="M167" s="320"/>
    </row>
    <row r="168" spans="1:13" ht="15" x14ac:dyDescent="0.25">
      <c r="A168" s="437"/>
      <c r="B168" s="95">
        <v>719</v>
      </c>
      <c r="C168" s="96" t="s">
        <v>102</v>
      </c>
      <c r="D168" s="318" t="e">
        <f>VLOOKUP(B168,#REF!,7,0)</f>
        <v>#REF!</v>
      </c>
      <c r="E168" s="318" t="e">
        <f t="shared" si="13"/>
        <v>#REF!</v>
      </c>
      <c r="F168" s="318" t="e">
        <f>VLOOKUP(B168,#REF!,7,0)</f>
        <v>#REF!</v>
      </c>
      <c r="G168" s="97" t="e">
        <f t="shared" si="14"/>
        <v>#REF!</v>
      </c>
      <c r="H168" s="333" t="e">
        <f t="shared" si="15"/>
        <v>#REF!</v>
      </c>
      <c r="I168" s="433"/>
      <c r="K168" s="320"/>
      <c r="L168" s="320"/>
      <c r="M168" s="320"/>
    </row>
    <row r="169" spans="1:13" ht="15.75" thickBot="1" x14ac:dyDescent="0.3">
      <c r="A169" s="438"/>
      <c r="B169" s="95">
        <v>731</v>
      </c>
      <c r="C169" s="96" t="s">
        <v>103</v>
      </c>
      <c r="D169" s="318" t="e">
        <f>VLOOKUP(B169,#REF!,7,0)</f>
        <v>#REF!</v>
      </c>
      <c r="E169" s="318" t="e">
        <f t="shared" si="13"/>
        <v>#REF!</v>
      </c>
      <c r="F169" s="318" t="e">
        <f>VLOOKUP(B169,#REF!,7,0)</f>
        <v>#REF!</v>
      </c>
      <c r="G169" s="97" t="e">
        <f t="shared" si="14"/>
        <v>#REF!</v>
      </c>
      <c r="H169" s="333" t="e">
        <f t="shared" si="15"/>
        <v>#REF!</v>
      </c>
      <c r="I169" s="433"/>
      <c r="K169" s="320"/>
      <c r="L169" s="320"/>
      <c r="M169" s="320"/>
    </row>
    <row r="170" spans="1:13" ht="16.5" thickTop="1" thickBot="1" x14ac:dyDescent="0.25">
      <c r="A170" s="12"/>
      <c r="B170" s="60"/>
      <c r="C170" s="98" t="s">
        <v>7</v>
      </c>
      <c r="D170" s="319" t="e">
        <f>SUM(D158:D169)</f>
        <v>#REF!</v>
      </c>
      <c r="E170" s="319" t="e">
        <f>SUM(E158:E169)</f>
        <v>#REF!</v>
      </c>
      <c r="F170" s="319" t="e">
        <f>SUM(F158:F169)</f>
        <v>#REF!</v>
      </c>
      <c r="G170" s="94" t="e">
        <f t="shared" si="14"/>
        <v>#REF!</v>
      </c>
      <c r="H170" s="334" t="e">
        <f t="shared" si="15"/>
        <v>#REF!</v>
      </c>
      <c r="I170" s="433"/>
      <c r="K170" s="320"/>
      <c r="L170" s="320"/>
      <c r="M170" s="320"/>
    </row>
    <row r="171" spans="1:13" ht="13.5" thickTop="1" x14ac:dyDescent="0.2">
      <c r="A171" s="12"/>
      <c r="B171" s="60"/>
      <c r="C171" s="12"/>
      <c r="D171" s="12"/>
      <c r="E171" s="12"/>
      <c r="F171" s="12"/>
      <c r="G171" s="12"/>
      <c r="H171" s="12"/>
      <c r="I171" s="433"/>
      <c r="K171" s="320"/>
      <c r="L171" s="320"/>
      <c r="M171" s="320"/>
    </row>
    <row r="172" spans="1:13" x14ac:dyDescent="0.2">
      <c r="A172" s="12"/>
      <c r="B172" s="60"/>
      <c r="C172" s="12"/>
      <c r="D172" s="316" t="s">
        <v>8</v>
      </c>
      <c r="E172" s="368" t="s">
        <v>13</v>
      </c>
      <c r="F172" s="369"/>
      <c r="G172" s="89" t="s">
        <v>14</v>
      </c>
      <c r="H172" s="91"/>
      <c r="I172" s="433"/>
      <c r="K172" s="320"/>
      <c r="L172" s="320"/>
      <c r="M172" s="320"/>
    </row>
    <row r="173" spans="1:13" ht="15" x14ac:dyDescent="0.25">
      <c r="A173" s="439" t="s">
        <v>16</v>
      </c>
      <c r="B173" s="95">
        <v>12</v>
      </c>
      <c r="C173" s="96" t="s">
        <v>90</v>
      </c>
      <c r="D173" s="317" t="e">
        <f>VLOOKUP(B173,#REF!,3,0)</f>
        <v>#REF!</v>
      </c>
      <c r="E173" s="442" t="e">
        <f>INDEX(#REF!,MATCH(B173,#REF!,0),MATCH(#REF!,#REF!,0))</f>
        <v>#REF!</v>
      </c>
      <c r="F173" s="442"/>
      <c r="G173" s="99" t="e">
        <f>(D173-E173)/E173</f>
        <v>#REF!</v>
      </c>
      <c r="H173" s="12"/>
      <c r="I173" s="433"/>
      <c r="K173" s="320"/>
      <c r="L173" s="320"/>
      <c r="M173" s="320"/>
    </row>
    <row r="174" spans="1:13" ht="15" x14ac:dyDescent="0.25">
      <c r="A174" s="440"/>
      <c r="B174" s="95">
        <v>93</v>
      </c>
      <c r="C174" s="96" t="s">
        <v>91</v>
      </c>
      <c r="D174" s="317" t="e">
        <f>VLOOKUP(B174,#REF!,3,0)</f>
        <v>#REF!</v>
      </c>
      <c r="E174" s="442" t="e">
        <f>INDEX(#REF!,MATCH(B174,#REF!,0),MATCH(#REF!,#REF!,0))</f>
        <v>#REF!</v>
      </c>
      <c r="F174" s="442"/>
      <c r="G174" s="99" t="e">
        <f t="shared" ref="G174:G184" si="16">(D174-E174)/E174</f>
        <v>#REF!</v>
      </c>
      <c r="H174" s="12"/>
      <c r="I174" s="433"/>
      <c r="K174" s="320"/>
      <c r="L174" s="320"/>
      <c r="M174" s="320"/>
    </row>
    <row r="175" spans="1:13" ht="15" x14ac:dyDescent="0.25">
      <c r="A175" s="440"/>
      <c r="B175" s="95">
        <v>117</v>
      </c>
      <c r="C175" s="96" t="s">
        <v>92</v>
      </c>
      <c r="D175" s="317" t="e">
        <f>VLOOKUP(B175,#REF!,3,0)</f>
        <v>#REF!</v>
      </c>
      <c r="E175" s="442" t="e">
        <f>INDEX(#REF!,MATCH(B175,#REF!,0),MATCH(#REF!,#REF!,0))</f>
        <v>#REF!</v>
      </c>
      <c r="F175" s="442"/>
      <c r="G175" s="99" t="e">
        <f t="shared" si="16"/>
        <v>#REF!</v>
      </c>
      <c r="H175" s="12"/>
      <c r="I175" s="433"/>
      <c r="K175" s="320"/>
      <c r="L175" s="320"/>
      <c r="M175" s="320"/>
    </row>
    <row r="176" spans="1:13" ht="15" x14ac:dyDescent="0.25">
      <c r="A176" s="440"/>
      <c r="B176" s="95">
        <v>153</v>
      </c>
      <c r="C176" s="96" t="s">
        <v>93</v>
      </c>
      <c r="D176" s="317" t="e">
        <f>VLOOKUP(B176,#REF!,3,0)</f>
        <v>#REF!</v>
      </c>
      <c r="E176" s="442" t="e">
        <f>INDEX(#REF!,MATCH(B176,#REF!,0),MATCH(#REF!,#REF!,0))</f>
        <v>#REF!</v>
      </c>
      <c r="F176" s="442"/>
      <c r="G176" s="99" t="e">
        <f t="shared" si="16"/>
        <v>#REF!</v>
      </c>
      <c r="H176" s="12"/>
      <c r="I176" s="433"/>
      <c r="K176" s="320"/>
      <c r="L176" s="320"/>
      <c r="M176" s="320"/>
    </row>
    <row r="177" spans="1:13" ht="15" x14ac:dyDescent="0.25">
      <c r="A177" s="440"/>
      <c r="B177" s="95">
        <v>182</v>
      </c>
      <c r="C177" s="96" t="s">
        <v>94</v>
      </c>
      <c r="D177" s="317" t="e">
        <f>VLOOKUP(B177,#REF!,3,0)</f>
        <v>#REF!</v>
      </c>
      <c r="E177" s="442" t="e">
        <f>INDEX(#REF!,MATCH(B177,#REF!,0),MATCH(#REF!,#REF!,0))</f>
        <v>#REF!</v>
      </c>
      <c r="F177" s="442"/>
      <c r="G177" s="99" t="e">
        <f t="shared" si="16"/>
        <v>#REF!</v>
      </c>
      <c r="H177" s="12"/>
      <c r="I177" s="433"/>
      <c r="K177" s="320"/>
      <c r="L177" s="320"/>
      <c r="M177" s="320"/>
    </row>
    <row r="178" spans="1:13" ht="15" x14ac:dyDescent="0.25">
      <c r="A178" s="440"/>
      <c r="B178" s="95">
        <v>271</v>
      </c>
      <c r="C178" s="96" t="s">
        <v>95</v>
      </c>
      <c r="D178" s="317" t="e">
        <f>VLOOKUP(B178,#REF!,3,0)</f>
        <v>#REF!</v>
      </c>
      <c r="E178" s="442" t="e">
        <f>INDEX(#REF!,MATCH(B178,#REF!,0),MATCH(#REF!,#REF!,0))</f>
        <v>#REF!</v>
      </c>
      <c r="F178" s="442"/>
      <c r="G178" s="99" t="e">
        <f t="shared" si="16"/>
        <v>#REF!</v>
      </c>
      <c r="H178" s="12"/>
      <c r="I178" s="433"/>
      <c r="K178" s="320"/>
      <c r="L178" s="320"/>
      <c r="M178" s="320"/>
    </row>
    <row r="179" spans="1:13" ht="15" x14ac:dyDescent="0.25">
      <c r="A179" s="440"/>
      <c r="B179" s="95">
        <v>407</v>
      </c>
      <c r="C179" s="96" t="s">
        <v>96</v>
      </c>
      <c r="D179" s="317" t="e">
        <f>VLOOKUP(B179,#REF!,3,0)</f>
        <v>#REF!</v>
      </c>
      <c r="E179" s="442" t="e">
        <f>INDEX(#REF!,MATCH(B179,#REF!,0),MATCH(#REF!,#REF!,0))</f>
        <v>#REF!</v>
      </c>
      <c r="F179" s="442"/>
      <c r="G179" s="99" t="e">
        <f t="shared" si="16"/>
        <v>#REF!</v>
      </c>
      <c r="H179" s="12"/>
      <c r="I179" s="433"/>
      <c r="K179" s="320"/>
      <c r="L179" s="320"/>
      <c r="M179" s="320"/>
    </row>
    <row r="180" spans="1:13" ht="15" x14ac:dyDescent="0.25">
      <c r="A180" s="440"/>
      <c r="B180" s="95">
        <v>424</v>
      </c>
      <c r="C180" s="96" t="s">
        <v>97</v>
      </c>
      <c r="D180" s="317" t="e">
        <f>VLOOKUP(B180,#REF!,3,0)</f>
        <v>#REF!</v>
      </c>
      <c r="E180" s="442" t="e">
        <f>INDEX(#REF!,MATCH(B180,#REF!,0),MATCH(#REF!,#REF!,0))</f>
        <v>#REF!</v>
      </c>
      <c r="F180" s="442"/>
      <c r="G180" s="99" t="e">
        <f t="shared" si="16"/>
        <v>#REF!</v>
      </c>
      <c r="H180" s="12"/>
      <c r="I180" s="433"/>
      <c r="K180" s="320"/>
      <c r="L180" s="320"/>
      <c r="M180" s="320"/>
    </row>
    <row r="181" spans="1:13" ht="15" x14ac:dyDescent="0.25">
      <c r="A181" s="440"/>
      <c r="B181" s="95">
        <v>502</v>
      </c>
      <c r="C181" s="96" t="s">
        <v>98</v>
      </c>
      <c r="D181" s="317" t="e">
        <f>VLOOKUP(B181,#REF!,3,0)</f>
        <v>#REF!</v>
      </c>
      <c r="E181" s="442" t="e">
        <f>INDEX(#REF!,MATCH(B181,#REF!,0),MATCH(#REF!,#REF!,0))</f>
        <v>#REF!</v>
      </c>
      <c r="F181" s="442"/>
      <c r="G181" s="99" t="e">
        <f t="shared" si="16"/>
        <v>#REF!</v>
      </c>
      <c r="H181" s="26"/>
      <c r="I181" s="433"/>
      <c r="K181" s="320"/>
      <c r="L181" s="320"/>
      <c r="M181" s="320"/>
    </row>
    <row r="182" spans="1:13" ht="15" x14ac:dyDescent="0.25">
      <c r="A182" s="440"/>
      <c r="B182" s="95">
        <v>533</v>
      </c>
      <c r="C182" s="96" t="s">
        <v>99</v>
      </c>
      <c r="D182" s="317" t="e">
        <f>VLOOKUP(B182,#REF!,3,0)</f>
        <v>#REF!</v>
      </c>
      <c r="E182" s="442" t="e">
        <f>INDEX(#REF!,MATCH(B182,#REF!,0),MATCH(#REF!,#REF!,0))</f>
        <v>#REF!</v>
      </c>
      <c r="F182" s="442"/>
      <c r="G182" s="99" t="e">
        <f t="shared" si="16"/>
        <v>#REF!</v>
      </c>
      <c r="H182" s="12"/>
      <c r="I182" s="433"/>
      <c r="K182" s="320"/>
      <c r="L182" s="320"/>
      <c r="M182" s="320"/>
    </row>
    <row r="183" spans="1:13" ht="15" x14ac:dyDescent="0.25">
      <c r="A183" s="440"/>
      <c r="B183" s="95">
        <v>719</v>
      </c>
      <c r="C183" s="96" t="s">
        <v>102</v>
      </c>
      <c r="D183" s="317" t="e">
        <f>VLOOKUP(B183,#REF!,3,0)</f>
        <v>#REF!</v>
      </c>
      <c r="E183" s="442" t="e">
        <f>INDEX(#REF!,MATCH(B183,#REF!,0),MATCH(#REF!,#REF!,0))</f>
        <v>#REF!</v>
      </c>
      <c r="F183" s="442"/>
      <c r="G183" s="99" t="e">
        <f t="shared" si="16"/>
        <v>#REF!</v>
      </c>
      <c r="H183" s="12"/>
      <c r="I183" s="433"/>
      <c r="K183" s="320"/>
      <c r="L183" s="320"/>
      <c r="M183" s="320"/>
    </row>
    <row r="184" spans="1:13" ht="15.75" thickBot="1" x14ac:dyDescent="0.3">
      <c r="A184" s="441"/>
      <c r="B184" s="95">
        <v>731</v>
      </c>
      <c r="C184" s="96" t="s">
        <v>103</v>
      </c>
      <c r="D184" s="317" t="e">
        <f>VLOOKUP(B184,#REF!,3,0)</f>
        <v>#REF!</v>
      </c>
      <c r="E184" s="442" t="e">
        <f>INDEX(#REF!,MATCH(B184,#REF!,0),MATCH(#REF!,#REF!,0))</f>
        <v>#REF!</v>
      </c>
      <c r="F184" s="442"/>
      <c r="G184" s="99" t="e">
        <f t="shared" si="16"/>
        <v>#REF!</v>
      </c>
      <c r="H184" s="12"/>
      <c r="I184" s="433"/>
      <c r="K184" s="320"/>
      <c r="L184" s="320"/>
      <c r="M184" s="320"/>
    </row>
    <row r="185" spans="1:13" ht="16.5" thickTop="1" thickBot="1" x14ac:dyDescent="0.25">
      <c r="A185" s="13"/>
      <c r="B185" s="86"/>
      <c r="C185" s="98" t="s">
        <v>7</v>
      </c>
      <c r="D185" s="226" t="e">
        <f>SUM(D173:D183)</f>
        <v>#REF!</v>
      </c>
      <c r="E185" s="431" t="e">
        <f>SUM(E173:E184)</f>
        <v>#REF!</v>
      </c>
      <c r="F185" s="431"/>
      <c r="G185" s="100" t="e">
        <f>(D185-E185)/E185</f>
        <v>#REF!</v>
      </c>
      <c r="H185" s="12"/>
      <c r="I185" s="434"/>
      <c r="K185" s="320"/>
      <c r="L185" s="320"/>
      <c r="M185" s="320"/>
    </row>
    <row r="186" spans="1:13" ht="13.5" thickTop="1" x14ac:dyDescent="0.2"/>
    <row r="187" spans="1:13" ht="12.75" customHeight="1" x14ac:dyDescent="0.2">
      <c r="A187" s="106"/>
      <c r="B187" s="107"/>
      <c r="C187" s="106"/>
      <c r="D187" s="108"/>
      <c r="E187" s="108"/>
      <c r="F187" s="108"/>
      <c r="G187" s="83" t="s">
        <v>23</v>
      </c>
      <c r="H187" s="331" t="s">
        <v>4</v>
      </c>
      <c r="I187" s="432" t="s">
        <v>110</v>
      </c>
      <c r="K187" s="320"/>
      <c r="L187" s="320"/>
      <c r="M187" s="320"/>
    </row>
    <row r="188" spans="1:13" x14ac:dyDescent="0.2">
      <c r="A188" s="93" t="s">
        <v>109</v>
      </c>
      <c r="B188" s="92"/>
      <c r="C188" s="13"/>
      <c r="D188" s="12"/>
      <c r="E188" s="12"/>
      <c r="F188" s="12"/>
      <c r="G188" s="82">
        <f>DATE($L$2,$K$2+1,0)</f>
        <v>0</v>
      </c>
      <c r="H188" s="332">
        <f>$K$3</f>
        <v>0</v>
      </c>
      <c r="I188" s="433"/>
      <c r="K188" s="320"/>
      <c r="L188" s="320"/>
      <c r="M188" s="320"/>
    </row>
    <row r="189" spans="1:13" x14ac:dyDescent="0.2">
      <c r="A189" s="12"/>
      <c r="B189" s="12"/>
      <c r="C189" s="12"/>
      <c r="D189" s="17"/>
      <c r="E189" s="12"/>
      <c r="F189" s="12"/>
      <c r="G189" s="12"/>
      <c r="H189" s="12"/>
      <c r="I189" s="433"/>
      <c r="K189" s="320"/>
      <c r="L189" s="320"/>
      <c r="M189" s="320"/>
    </row>
    <row r="190" spans="1:13" x14ac:dyDescent="0.2">
      <c r="A190" s="12"/>
      <c r="B190" s="12"/>
      <c r="C190" s="88"/>
      <c r="D190" s="316" t="s">
        <v>8</v>
      </c>
      <c r="E190" s="89" t="s">
        <v>9</v>
      </c>
      <c r="F190" s="316" t="s">
        <v>10</v>
      </c>
      <c r="G190" s="90" t="s">
        <v>11</v>
      </c>
      <c r="H190" s="316" t="s">
        <v>12</v>
      </c>
      <c r="I190" s="433"/>
      <c r="K190" s="320"/>
      <c r="L190" s="320"/>
      <c r="M190" s="320"/>
    </row>
    <row r="191" spans="1:13" ht="15" x14ac:dyDescent="0.25">
      <c r="A191" s="436" t="s">
        <v>15</v>
      </c>
      <c r="B191" s="95">
        <v>12</v>
      </c>
      <c r="C191" s="96" t="s">
        <v>90</v>
      </c>
      <c r="D191" s="318" t="e">
        <f>VLOOKUP(B191,#REF!,7,0)</f>
        <v>#REF!</v>
      </c>
      <c r="E191" s="318" t="e">
        <f>F191*$K$3</f>
        <v>#REF!</v>
      </c>
      <c r="F191" s="318" t="e">
        <f>VLOOKUP(B191,#REF!,7,0)</f>
        <v>#REF!</v>
      </c>
      <c r="G191" s="97" t="e">
        <f>D191/E191</f>
        <v>#REF!</v>
      </c>
      <c r="H191" s="333" t="e">
        <f>D191/F191</f>
        <v>#REF!</v>
      </c>
      <c r="I191" s="433"/>
      <c r="K191" s="320"/>
      <c r="L191" s="320"/>
      <c r="M191" s="320"/>
    </row>
    <row r="192" spans="1:13" ht="15" x14ac:dyDescent="0.25">
      <c r="A192" s="437"/>
      <c r="B192" s="95">
        <v>93</v>
      </c>
      <c r="C192" s="96" t="s">
        <v>91</v>
      </c>
      <c r="D192" s="318" t="e">
        <f>VLOOKUP(B192,#REF!,7,0)</f>
        <v>#REF!</v>
      </c>
      <c r="E192" s="318" t="e">
        <f t="shared" ref="E192:E202" si="17">F192*$K$3</f>
        <v>#REF!</v>
      </c>
      <c r="F192" s="318" t="e">
        <f>VLOOKUP(B192,#REF!,7,0)</f>
        <v>#REF!</v>
      </c>
      <c r="G192" s="97" t="e">
        <f t="shared" ref="G192:G203" si="18">D192/E192</f>
        <v>#REF!</v>
      </c>
      <c r="H192" s="333" t="e">
        <f t="shared" ref="H192:H203" si="19">D192/F192</f>
        <v>#REF!</v>
      </c>
      <c r="I192" s="433"/>
      <c r="K192" s="320"/>
      <c r="L192" s="320"/>
      <c r="M192" s="320"/>
    </row>
    <row r="193" spans="1:13" ht="15" x14ac:dyDescent="0.25">
      <c r="A193" s="437"/>
      <c r="B193" s="95">
        <v>117</v>
      </c>
      <c r="C193" s="96" t="s">
        <v>92</v>
      </c>
      <c r="D193" s="318" t="e">
        <f>VLOOKUP(B193,#REF!,7,0)</f>
        <v>#REF!</v>
      </c>
      <c r="E193" s="318" t="e">
        <f t="shared" si="17"/>
        <v>#REF!</v>
      </c>
      <c r="F193" s="318" t="e">
        <f>VLOOKUP(B193,#REF!,7,0)</f>
        <v>#REF!</v>
      </c>
      <c r="G193" s="97" t="e">
        <f t="shared" si="18"/>
        <v>#REF!</v>
      </c>
      <c r="H193" s="333" t="e">
        <f t="shared" si="19"/>
        <v>#REF!</v>
      </c>
      <c r="I193" s="433"/>
      <c r="K193" s="320"/>
      <c r="L193" s="320"/>
      <c r="M193" s="320"/>
    </row>
    <row r="194" spans="1:13" ht="15" x14ac:dyDescent="0.25">
      <c r="A194" s="437"/>
      <c r="B194" s="95">
        <v>153</v>
      </c>
      <c r="C194" s="96" t="s">
        <v>93</v>
      </c>
      <c r="D194" s="318" t="e">
        <f>VLOOKUP(B194,#REF!,7,0)</f>
        <v>#REF!</v>
      </c>
      <c r="E194" s="318" t="e">
        <f t="shared" si="17"/>
        <v>#REF!</v>
      </c>
      <c r="F194" s="318" t="e">
        <f>VLOOKUP(B194,#REF!,7,0)</f>
        <v>#REF!</v>
      </c>
      <c r="G194" s="97" t="e">
        <f t="shared" si="18"/>
        <v>#REF!</v>
      </c>
      <c r="H194" s="333" t="e">
        <f t="shared" si="19"/>
        <v>#REF!</v>
      </c>
      <c r="I194" s="433"/>
      <c r="K194" s="320"/>
      <c r="L194" s="320"/>
      <c r="M194" s="320"/>
    </row>
    <row r="195" spans="1:13" ht="15" x14ac:dyDescent="0.25">
      <c r="A195" s="437"/>
      <c r="B195" s="95">
        <v>182</v>
      </c>
      <c r="C195" s="96" t="s">
        <v>94</v>
      </c>
      <c r="D195" s="318" t="e">
        <f>VLOOKUP(B195,#REF!,7,0)</f>
        <v>#REF!</v>
      </c>
      <c r="E195" s="318" t="e">
        <f t="shared" si="17"/>
        <v>#REF!</v>
      </c>
      <c r="F195" s="318" t="e">
        <f>VLOOKUP(B195,#REF!,7,0)</f>
        <v>#REF!</v>
      </c>
      <c r="G195" s="97" t="e">
        <f t="shared" si="18"/>
        <v>#REF!</v>
      </c>
      <c r="H195" s="333" t="e">
        <f t="shared" si="19"/>
        <v>#REF!</v>
      </c>
      <c r="I195" s="433"/>
      <c r="K195" s="320"/>
      <c r="L195" s="320"/>
      <c r="M195" s="320"/>
    </row>
    <row r="196" spans="1:13" ht="15" x14ac:dyDescent="0.25">
      <c r="A196" s="437"/>
      <c r="B196" s="95">
        <v>271</v>
      </c>
      <c r="C196" s="96" t="s">
        <v>95</v>
      </c>
      <c r="D196" s="318" t="e">
        <f>VLOOKUP(B196,#REF!,7,0)</f>
        <v>#REF!</v>
      </c>
      <c r="E196" s="318" t="e">
        <f t="shared" si="17"/>
        <v>#REF!</v>
      </c>
      <c r="F196" s="318" t="e">
        <f>VLOOKUP(B196,#REF!,7,0)</f>
        <v>#REF!</v>
      </c>
      <c r="G196" s="97" t="e">
        <f t="shared" si="18"/>
        <v>#REF!</v>
      </c>
      <c r="H196" s="333" t="e">
        <f t="shared" si="19"/>
        <v>#REF!</v>
      </c>
      <c r="I196" s="433"/>
      <c r="K196" s="320"/>
      <c r="L196" s="320"/>
      <c r="M196" s="320"/>
    </row>
    <row r="197" spans="1:13" ht="15" x14ac:dyDescent="0.25">
      <c r="A197" s="437"/>
      <c r="B197" s="95">
        <v>407</v>
      </c>
      <c r="C197" s="96" t="s">
        <v>96</v>
      </c>
      <c r="D197" s="318" t="e">
        <f>VLOOKUP(B197,#REF!,7,0)</f>
        <v>#REF!</v>
      </c>
      <c r="E197" s="318" t="e">
        <f t="shared" si="17"/>
        <v>#REF!</v>
      </c>
      <c r="F197" s="318" t="e">
        <f>VLOOKUP(B197,#REF!,7,0)</f>
        <v>#REF!</v>
      </c>
      <c r="G197" s="97" t="e">
        <f t="shared" si="18"/>
        <v>#REF!</v>
      </c>
      <c r="H197" s="333" t="e">
        <f t="shared" si="19"/>
        <v>#REF!</v>
      </c>
      <c r="I197" s="433"/>
      <c r="K197" s="320"/>
      <c r="L197" s="320"/>
      <c r="M197" s="320"/>
    </row>
    <row r="198" spans="1:13" ht="15" x14ac:dyDescent="0.25">
      <c r="A198" s="437"/>
      <c r="B198" s="95">
        <v>424</v>
      </c>
      <c r="C198" s="96" t="s">
        <v>97</v>
      </c>
      <c r="D198" s="318" t="e">
        <f>VLOOKUP(B198,#REF!,7,0)</f>
        <v>#REF!</v>
      </c>
      <c r="E198" s="318" t="e">
        <f t="shared" si="17"/>
        <v>#REF!</v>
      </c>
      <c r="F198" s="318" t="e">
        <f>VLOOKUP(B198,#REF!,7,0)</f>
        <v>#REF!</v>
      </c>
      <c r="G198" s="97" t="e">
        <f t="shared" si="18"/>
        <v>#REF!</v>
      </c>
      <c r="H198" s="333" t="e">
        <f t="shared" si="19"/>
        <v>#REF!</v>
      </c>
      <c r="I198" s="433"/>
      <c r="K198" s="320"/>
      <c r="L198" s="320"/>
      <c r="M198" s="320"/>
    </row>
    <row r="199" spans="1:13" ht="15" x14ac:dyDescent="0.25">
      <c r="A199" s="437"/>
      <c r="B199" s="95">
        <v>502</v>
      </c>
      <c r="C199" s="96" t="s">
        <v>98</v>
      </c>
      <c r="D199" s="318" t="e">
        <f>VLOOKUP(B199,#REF!,7,0)</f>
        <v>#REF!</v>
      </c>
      <c r="E199" s="318" t="e">
        <f t="shared" si="17"/>
        <v>#REF!</v>
      </c>
      <c r="F199" s="318" t="e">
        <f>VLOOKUP(B199,#REF!,7,0)</f>
        <v>#REF!</v>
      </c>
      <c r="G199" s="97" t="e">
        <f t="shared" si="18"/>
        <v>#REF!</v>
      </c>
      <c r="H199" s="333" t="e">
        <f t="shared" si="19"/>
        <v>#REF!</v>
      </c>
      <c r="I199" s="433"/>
      <c r="K199" s="320"/>
      <c r="L199" s="320"/>
      <c r="M199" s="320"/>
    </row>
    <row r="200" spans="1:13" ht="15" x14ac:dyDescent="0.25">
      <c r="A200" s="437"/>
      <c r="B200" s="95">
        <v>533</v>
      </c>
      <c r="C200" s="96" t="s">
        <v>99</v>
      </c>
      <c r="D200" s="318" t="e">
        <f>VLOOKUP(B200,#REF!,7,0)</f>
        <v>#REF!</v>
      </c>
      <c r="E200" s="318" t="e">
        <f t="shared" si="17"/>
        <v>#REF!</v>
      </c>
      <c r="F200" s="318" t="e">
        <f>VLOOKUP(B200,#REF!,7,0)</f>
        <v>#REF!</v>
      </c>
      <c r="G200" s="97" t="e">
        <f t="shared" si="18"/>
        <v>#REF!</v>
      </c>
      <c r="H200" s="333" t="e">
        <f t="shared" si="19"/>
        <v>#REF!</v>
      </c>
      <c r="I200" s="433"/>
      <c r="K200" s="320"/>
      <c r="L200" s="320"/>
      <c r="M200" s="320"/>
    </row>
    <row r="201" spans="1:13" ht="15" x14ac:dyDescent="0.25">
      <c r="A201" s="437"/>
      <c r="B201" s="95">
        <v>719</v>
      </c>
      <c r="C201" s="96" t="s">
        <v>102</v>
      </c>
      <c r="D201" s="318" t="e">
        <f>VLOOKUP(B201,#REF!,7,0)</f>
        <v>#REF!</v>
      </c>
      <c r="E201" s="318" t="e">
        <f t="shared" si="17"/>
        <v>#REF!</v>
      </c>
      <c r="F201" s="318" t="e">
        <f>VLOOKUP(B201,#REF!,7,0)</f>
        <v>#REF!</v>
      </c>
      <c r="G201" s="97" t="e">
        <f t="shared" si="18"/>
        <v>#REF!</v>
      </c>
      <c r="H201" s="333" t="e">
        <f t="shared" si="19"/>
        <v>#REF!</v>
      </c>
      <c r="I201" s="433"/>
      <c r="K201" s="320"/>
      <c r="L201" s="320"/>
      <c r="M201" s="320"/>
    </row>
    <row r="202" spans="1:13" ht="15.75" thickBot="1" x14ac:dyDescent="0.3">
      <c r="A202" s="438"/>
      <c r="B202" s="95">
        <v>731</v>
      </c>
      <c r="C202" s="96" t="s">
        <v>103</v>
      </c>
      <c r="D202" s="318" t="e">
        <f>VLOOKUP(B202,#REF!,7,0)</f>
        <v>#REF!</v>
      </c>
      <c r="E202" s="318" t="e">
        <f t="shared" si="17"/>
        <v>#REF!</v>
      </c>
      <c r="F202" s="318" t="e">
        <f>VLOOKUP(B202,#REF!,7,0)</f>
        <v>#REF!</v>
      </c>
      <c r="G202" s="97" t="e">
        <f t="shared" si="18"/>
        <v>#REF!</v>
      </c>
      <c r="H202" s="333" t="e">
        <f t="shared" si="19"/>
        <v>#REF!</v>
      </c>
      <c r="I202" s="433"/>
      <c r="K202" s="320"/>
      <c r="L202" s="320"/>
      <c r="M202" s="320"/>
    </row>
    <row r="203" spans="1:13" ht="16.5" thickTop="1" thickBot="1" x14ac:dyDescent="0.25">
      <c r="A203" s="12"/>
      <c r="B203" s="60"/>
      <c r="C203" s="98" t="s">
        <v>7</v>
      </c>
      <c r="D203" s="319" t="e">
        <f>SUM(D191:D202)</f>
        <v>#REF!</v>
      </c>
      <c r="E203" s="319" t="e">
        <f>SUM(E191:E202)</f>
        <v>#REF!</v>
      </c>
      <c r="F203" s="319" t="e">
        <f>SUM(F191:F202)</f>
        <v>#REF!</v>
      </c>
      <c r="G203" s="94" t="e">
        <f t="shared" si="18"/>
        <v>#REF!</v>
      </c>
      <c r="H203" s="334" t="e">
        <f t="shared" si="19"/>
        <v>#REF!</v>
      </c>
      <c r="I203" s="433"/>
      <c r="K203" s="320"/>
      <c r="L203" s="320"/>
      <c r="M203" s="320"/>
    </row>
    <row r="204" spans="1:13" ht="13.5" thickTop="1" x14ac:dyDescent="0.2">
      <c r="A204" s="12"/>
      <c r="B204" s="60"/>
      <c r="C204" s="12"/>
      <c r="D204" s="12"/>
      <c r="E204" s="12"/>
      <c r="F204" s="12"/>
      <c r="G204" s="12"/>
      <c r="H204" s="12"/>
      <c r="I204" s="433"/>
      <c r="K204" s="320"/>
      <c r="L204" s="320"/>
      <c r="M204" s="320"/>
    </row>
    <row r="205" spans="1:13" x14ac:dyDescent="0.2">
      <c r="A205" s="12"/>
      <c r="B205" s="60"/>
      <c r="C205" s="12"/>
      <c r="D205" s="316" t="s">
        <v>8</v>
      </c>
      <c r="E205" s="368" t="s">
        <v>13</v>
      </c>
      <c r="F205" s="369"/>
      <c r="G205" s="89" t="s">
        <v>14</v>
      </c>
      <c r="H205" s="91"/>
      <c r="I205" s="433"/>
      <c r="K205" s="320"/>
      <c r="L205" s="320"/>
      <c r="M205" s="320"/>
    </row>
    <row r="206" spans="1:13" ht="15" x14ac:dyDescent="0.25">
      <c r="A206" s="439" t="s">
        <v>16</v>
      </c>
      <c r="B206" s="95">
        <v>12</v>
      </c>
      <c r="C206" s="96" t="s">
        <v>90</v>
      </c>
      <c r="D206" s="317" t="e">
        <f>VLOOKUP(B206,#REF!,3,0)</f>
        <v>#REF!</v>
      </c>
      <c r="E206" s="442" t="e">
        <f>INDEX(#REF!,MATCH(B206,#REF!,0),MATCH(#REF!,#REF!,0))</f>
        <v>#REF!</v>
      </c>
      <c r="F206" s="442"/>
      <c r="G206" s="99" t="e">
        <f>(D206-E206)/E206</f>
        <v>#REF!</v>
      </c>
      <c r="H206" s="12"/>
      <c r="I206" s="433"/>
      <c r="K206" s="320"/>
      <c r="L206" s="320"/>
      <c r="M206" s="320"/>
    </row>
    <row r="207" spans="1:13" ht="15" x14ac:dyDescent="0.25">
      <c r="A207" s="440"/>
      <c r="B207" s="95">
        <v>93</v>
      </c>
      <c r="C207" s="96" t="s">
        <v>91</v>
      </c>
      <c r="D207" s="317" t="e">
        <f>VLOOKUP(B207,#REF!,3,0)</f>
        <v>#REF!</v>
      </c>
      <c r="E207" s="442" t="e">
        <f>INDEX(#REF!,MATCH(B207,#REF!,0),MATCH(#REF!,#REF!,0))</f>
        <v>#REF!</v>
      </c>
      <c r="F207" s="442"/>
      <c r="G207" s="99" t="e">
        <f t="shared" ref="G207:G217" si="20">(D207-E207)/E207</f>
        <v>#REF!</v>
      </c>
      <c r="H207" s="12"/>
      <c r="I207" s="433"/>
      <c r="K207" s="320"/>
      <c r="L207" s="320"/>
      <c r="M207" s="320"/>
    </row>
    <row r="208" spans="1:13" ht="15" x14ac:dyDescent="0.25">
      <c r="A208" s="440"/>
      <c r="B208" s="95">
        <v>117</v>
      </c>
      <c r="C208" s="96" t="s">
        <v>92</v>
      </c>
      <c r="D208" s="317" t="e">
        <f>VLOOKUP(B208,#REF!,3,0)</f>
        <v>#REF!</v>
      </c>
      <c r="E208" s="442" t="e">
        <f>INDEX(#REF!,MATCH(B208,#REF!,0),MATCH(#REF!,#REF!,0))</f>
        <v>#REF!</v>
      </c>
      <c r="F208" s="442"/>
      <c r="G208" s="99" t="e">
        <f t="shared" si="20"/>
        <v>#REF!</v>
      </c>
      <c r="H208" s="12"/>
      <c r="I208" s="433"/>
      <c r="K208" s="320"/>
      <c r="L208" s="320"/>
      <c r="M208" s="320"/>
    </row>
    <row r="209" spans="1:13" ht="15" x14ac:dyDescent="0.25">
      <c r="A209" s="440"/>
      <c r="B209" s="95">
        <v>153</v>
      </c>
      <c r="C209" s="96" t="s">
        <v>93</v>
      </c>
      <c r="D209" s="317" t="e">
        <f>VLOOKUP(B209,#REF!,3,0)</f>
        <v>#REF!</v>
      </c>
      <c r="E209" s="442" t="e">
        <f>INDEX(#REF!,MATCH(B209,#REF!,0),MATCH(#REF!,#REF!,0))</f>
        <v>#REF!</v>
      </c>
      <c r="F209" s="442"/>
      <c r="G209" s="99" t="e">
        <f t="shared" si="20"/>
        <v>#REF!</v>
      </c>
      <c r="H209" s="12"/>
      <c r="I209" s="433"/>
      <c r="K209" s="320"/>
      <c r="L209" s="320"/>
      <c r="M209" s="320"/>
    </row>
    <row r="210" spans="1:13" ht="15" x14ac:dyDescent="0.25">
      <c r="A210" s="440"/>
      <c r="B210" s="95">
        <v>182</v>
      </c>
      <c r="C210" s="96" t="s">
        <v>94</v>
      </c>
      <c r="D210" s="317" t="e">
        <f>VLOOKUP(B210,#REF!,3,0)</f>
        <v>#REF!</v>
      </c>
      <c r="E210" s="442" t="e">
        <f>INDEX(#REF!,MATCH(B210,#REF!,0),MATCH(#REF!,#REF!,0))</f>
        <v>#REF!</v>
      </c>
      <c r="F210" s="442"/>
      <c r="G210" s="99" t="e">
        <f t="shared" si="20"/>
        <v>#REF!</v>
      </c>
      <c r="H210" s="12"/>
      <c r="I210" s="433"/>
      <c r="K210" s="320"/>
      <c r="L210" s="320"/>
      <c r="M210" s="320"/>
    </row>
    <row r="211" spans="1:13" ht="15" x14ac:dyDescent="0.25">
      <c r="A211" s="440"/>
      <c r="B211" s="95">
        <v>271</v>
      </c>
      <c r="C211" s="96" t="s">
        <v>95</v>
      </c>
      <c r="D211" s="317" t="e">
        <f>VLOOKUP(B211,#REF!,3,0)</f>
        <v>#REF!</v>
      </c>
      <c r="E211" s="442" t="e">
        <f>INDEX(#REF!,MATCH(B211,#REF!,0),MATCH(#REF!,#REF!,0))</f>
        <v>#REF!</v>
      </c>
      <c r="F211" s="442"/>
      <c r="G211" s="99" t="e">
        <f t="shared" si="20"/>
        <v>#REF!</v>
      </c>
      <c r="H211" s="12"/>
      <c r="I211" s="433"/>
      <c r="K211" s="320"/>
      <c r="L211" s="320"/>
      <c r="M211" s="320"/>
    </row>
    <row r="212" spans="1:13" ht="15" x14ac:dyDescent="0.25">
      <c r="A212" s="440"/>
      <c r="B212" s="95">
        <v>407</v>
      </c>
      <c r="C212" s="96" t="s">
        <v>96</v>
      </c>
      <c r="D212" s="317" t="e">
        <f>VLOOKUP(B212,#REF!,3,0)</f>
        <v>#REF!</v>
      </c>
      <c r="E212" s="442" t="e">
        <f>INDEX(#REF!,MATCH(B212,#REF!,0),MATCH(#REF!,#REF!,0))</f>
        <v>#REF!</v>
      </c>
      <c r="F212" s="442"/>
      <c r="G212" s="99" t="e">
        <f t="shared" si="20"/>
        <v>#REF!</v>
      </c>
      <c r="H212" s="12"/>
      <c r="I212" s="433"/>
      <c r="K212" s="320"/>
      <c r="L212" s="320"/>
      <c r="M212" s="320"/>
    </row>
    <row r="213" spans="1:13" ht="15" x14ac:dyDescent="0.25">
      <c r="A213" s="440"/>
      <c r="B213" s="95">
        <v>424</v>
      </c>
      <c r="C213" s="96" t="s">
        <v>97</v>
      </c>
      <c r="D213" s="317" t="e">
        <f>VLOOKUP(B213,#REF!,3,0)</f>
        <v>#REF!</v>
      </c>
      <c r="E213" s="442" t="e">
        <f>INDEX(#REF!,MATCH(B213,#REF!,0),MATCH(#REF!,#REF!,0))</f>
        <v>#REF!</v>
      </c>
      <c r="F213" s="442"/>
      <c r="G213" s="99" t="e">
        <f t="shared" si="20"/>
        <v>#REF!</v>
      </c>
      <c r="H213" s="12"/>
      <c r="I213" s="433"/>
      <c r="K213" s="320"/>
      <c r="L213" s="320"/>
      <c r="M213" s="320"/>
    </row>
    <row r="214" spans="1:13" ht="15" x14ac:dyDescent="0.25">
      <c r="A214" s="440"/>
      <c r="B214" s="95">
        <v>502</v>
      </c>
      <c r="C214" s="96" t="s">
        <v>98</v>
      </c>
      <c r="D214" s="317" t="e">
        <f>VLOOKUP(B214,#REF!,3,0)</f>
        <v>#REF!</v>
      </c>
      <c r="E214" s="442" t="e">
        <f>INDEX(#REF!,MATCH(B214,#REF!,0),MATCH(#REF!,#REF!,0))</f>
        <v>#REF!</v>
      </c>
      <c r="F214" s="442"/>
      <c r="G214" s="99" t="e">
        <f t="shared" si="20"/>
        <v>#REF!</v>
      </c>
      <c r="H214" s="26"/>
      <c r="I214" s="433"/>
      <c r="K214" s="320"/>
      <c r="L214" s="320"/>
      <c r="M214" s="320"/>
    </row>
    <row r="215" spans="1:13" ht="15" x14ac:dyDescent="0.25">
      <c r="A215" s="440"/>
      <c r="B215" s="95">
        <v>533</v>
      </c>
      <c r="C215" s="96" t="s">
        <v>99</v>
      </c>
      <c r="D215" s="317" t="e">
        <f>VLOOKUP(B215,#REF!,3,0)</f>
        <v>#REF!</v>
      </c>
      <c r="E215" s="442" t="e">
        <f>INDEX(#REF!,MATCH(B215,#REF!,0),MATCH(#REF!,#REF!,0))</f>
        <v>#REF!</v>
      </c>
      <c r="F215" s="442"/>
      <c r="G215" s="99" t="e">
        <f t="shared" si="20"/>
        <v>#REF!</v>
      </c>
      <c r="H215" s="12"/>
      <c r="I215" s="433"/>
      <c r="K215" s="320"/>
      <c r="L215" s="320"/>
      <c r="M215" s="320"/>
    </row>
    <row r="216" spans="1:13" ht="15" x14ac:dyDescent="0.25">
      <c r="A216" s="440"/>
      <c r="B216" s="95">
        <v>719</v>
      </c>
      <c r="C216" s="96" t="s">
        <v>102</v>
      </c>
      <c r="D216" s="317" t="e">
        <f>VLOOKUP(B216,#REF!,3,0)</f>
        <v>#REF!</v>
      </c>
      <c r="E216" s="442" t="e">
        <f>INDEX(#REF!,MATCH(B216,#REF!,0),MATCH(#REF!,#REF!,0))</f>
        <v>#REF!</v>
      </c>
      <c r="F216" s="442"/>
      <c r="G216" s="99" t="e">
        <f t="shared" si="20"/>
        <v>#REF!</v>
      </c>
      <c r="H216" s="12"/>
      <c r="I216" s="433"/>
      <c r="K216" s="320"/>
      <c r="L216" s="320"/>
      <c r="M216" s="320"/>
    </row>
    <row r="217" spans="1:13" ht="15.75" thickBot="1" x14ac:dyDescent="0.3">
      <c r="A217" s="441"/>
      <c r="B217" s="95">
        <v>731</v>
      </c>
      <c r="C217" s="96" t="s">
        <v>103</v>
      </c>
      <c r="D217" s="317" t="e">
        <f>VLOOKUP(B217,#REF!,3,0)</f>
        <v>#REF!</v>
      </c>
      <c r="E217" s="442" t="e">
        <f>INDEX(#REF!,MATCH(B217,#REF!,0),MATCH(#REF!,#REF!,0))</f>
        <v>#REF!</v>
      </c>
      <c r="F217" s="442"/>
      <c r="G217" s="99" t="e">
        <f t="shared" si="20"/>
        <v>#REF!</v>
      </c>
      <c r="H217" s="12"/>
      <c r="I217" s="433"/>
      <c r="K217" s="320"/>
      <c r="L217" s="320"/>
      <c r="M217" s="320"/>
    </row>
    <row r="218" spans="1:13" ht="16.5" thickTop="1" thickBot="1" x14ac:dyDescent="0.25">
      <c r="A218" s="13"/>
      <c r="B218" s="86"/>
      <c r="C218" s="98" t="s">
        <v>7</v>
      </c>
      <c r="D218" s="226" t="e">
        <f>SUM(D206:D216)</f>
        <v>#REF!</v>
      </c>
      <c r="E218" s="431" t="e">
        <f>SUM(E206:E217)</f>
        <v>#REF!</v>
      </c>
      <c r="F218" s="431"/>
      <c r="G218" s="100" t="e">
        <f>(D218-E218)/E218</f>
        <v>#REF!</v>
      </c>
      <c r="H218" s="12"/>
      <c r="I218" s="434"/>
      <c r="K218" s="320"/>
      <c r="L218" s="320"/>
      <c r="M218" s="320"/>
    </row>
    <row r="219" spans="1:13" ht="13.5" thickTop="1" x14ac:dyDescent="0.2"/>
    <row r="220" spans="1:13" ht="12.75" customHeight="1" x14ac:dyDescent="0.2">
      <c r="A220" s="106"/>
      <c r="B220" s="107"/>
      <c r="C220" s="106"/>
      <c r="D220" s="108"/>
      <c r="E220" s="108"/>
      <c r="F220" s="108"/>
      <c r="G220" s="83" t="s">
        <v>23</v>
      </c>
      <c r="H220" s="331" t="s">
        <v>4</v>
      </c>
      <c r="I220" s="432" t="s">
        <v>111</v>
      </c>
      <c r="K220" s="320"/>
      <c r="L220" s="320"/>
      <c r="M220" s="320"/>
    </row>
    <row r="221" spans="1:13" x14ac:dyDescent="0.2">
      <c r="A221" s="93" t="s">
        <v>112</v>
      </c>
      <c r="B221" s="92"/>
      <c r="C221" s="13"/>
      <c r="D221" s="12"/>
      <c r="E221" s="12"/>
      <c r="F221" s="12"/>
      <c r="G221" s="82">
        <f>DATE($L$2,$K$2+1,0)</f>
        <v>0</v>
      </c>
      <c r="H221" s="332">
        <f>$K$3</f>
        <v>0</v>
      </c>
      <c r="I221" s="433"/>
      <c r="K221" s="320"/>
      <c r="L221" s="320"/>
      <c r="M221" s="320"/>
    </row>
    <row r="222" spans="1:13" x14ac:dyDescent="0.2">
      <c r="A222" s="12"/>
      <c r="B222" s="12"/>
      <c r="C222" s="12"/>
      <c r="D222" s="17"/>
      <c r="E222" s="12"/>
      <c r="F222" s="12"/>
      <c r="G222" s="12"/>
      <c r="H222" s="12"/>
      <c r="I222" s="433"/>
      <c r="K222" s="320"/>
      <c r="L222" s="320"/>
      <c r="M222" s="320"/>
    </row>
    <row r="223" spans="1:13" x14ac:dyDescent="0.2">
      <c r="A223" s="12"/>
      <c r="B223" s="12"/>
      <c r="C223" s="88"/>
      <c r="D223" s="316" t="s">
        <v>8</v>
      </c>
      <c r="E223" s="89" t="s">
        <v>9</v>
      </c>
      <c r="F223" s="316" t="s">
        <v>10</v>
      </c>
      <c r="G223" s="90" t="s">
        <v>11</v>
      </c>
      <c r="H223" s="316" t="s">
        <v>12</v>
      </c>
      <c r="I223" s="433"/>
      <c r="K223" s="320"/>
      <c r="L223" s="320"/>
      <c r="M223" s="320"/>
    </row>
    <row r="224" spans="1:13" ht="15" x14ac:dyDescent="0.25">
      <c r="A224" s="436" t="s">
        <v>15</v>
      </c>
      <c r="B224" s="95">
        <v>12</v>
      </c>
      <c r="C224" s="96" t="s">
        <v>90</v>
      </c>
      <c r="D224" s="318" t="e">
        <f>VLOOKUP(B224,#REF!,7,0)</f>
        <v>#REF!</v>
      </c>
      <c r="E224" s="318" t="e">
        <f>F224*$K$3</f>
        <v>#REF!</v>
      </c>
      <c r="F224" s="318" t="e">
        <f>VLOOKUP(B224,#REF!,7,0)</f>
        <v>#REF!</v>
      </c>
      <c r="G224" s="97" t="e">
        <f>D224/E224</f>
        <v>#REF!</v>
      </c>
      <c r="H224" s="333" t="e">
        <f>D224/F224</f>
        <v>#REF!</v>
      </c>
      <c r="I224" s="433"/>
      <c r="K224" s="320"/>
      <c r="L224" s="320"/>
      <c r="M224" s="320"/>
    </row>
    <row r="225" spans="1:13" ht="15" x14ac:dyDescent="0.25">
      <c r="A225" s="437"/>
      <c r="B225" s="95">
        <v>93</v>
      </c>
      <c r="C225" s="96" t="s">
        <v>91</v>
      </c>
      <c r="D225" s="318" t="e">
        <f>VLOOKUP(B225,#REF!,7,0)</f>
        <v>#REF!</v>
      </c>
      <c r="E225" s="318" t="e">
        <f t="shared" ref="E225:E235" si="21">F225*$K$3</f>
        <v>#REF!</v>
      </c>
      <c r="F225" s="318" t="e">
        <f>VLOOKUP(B225,#REF!,7,0)</f>
        <v>#REF!</v>
      </c>
      <c r="G225" s="97" t="e">
        <f t="shared" ref="G225:G236" si="22">D225/E225</f>
        <v>#REF!</v>
      </c>
      <c r="H225" s="333" t="e">
        <f t="shared" ref="H225:H236" si="23">D225/F225</f>
        <v>#REF!</v>
      </c>
      <c r="I225" s="433"/>
      <c r="K225" s="320"/>
      <c r="L225" s="320"/>
      <c r="M225" s="320"/>
    </row>
    <row r="226" spans="1:13" ht="15" x14ac:dyDescent="0.25">
      <c r="A226" s="437"/>
      <c r="B226" s="95">
        <v>117</v>
      </c>
      <c r="C226" s="96" t="s">
        <v>92</v>
      </c>
      <c r="D226" s="318" t="e">
        <f>VLOOKUP(B226,#REF!,7,0)</f>
        <v>#REF!</v>
      </c>
      <c r="E226" s="318" t="e">
        <f t="shared" si="21"/>
        <v>#REF!</v>
      </c>
      <c r="F226" s="318" t="e">
        <f>VLOOKUP(B226,#REF!,7,0)</f>
        <v>#REF!</v>
      </c>
      <c r="G226" s="97" t="e">
        <f t="shared" si="22"/>
        <v>#REF!</v>
      </c>
      <c r="H226" s="333" t="e">
        <f t="shared" si="23"/>
        <v>#REF!</v>
      </c>
      <c r="I226" s="433"/>
      <c r="K226" s="320"/>
      <c r="L226" s="320"/>
      <c r="M226" s="320"/>
    </row>
    <row r="227" spans="1:13" ht="15" x14ac:dyDescent="0.25">
      <c r="A227" s="437"/>
      <c r="B227" s="95">
        <v>153</v>
      </c>
      <c r="C227" s="96" t="s">
        <v>93</v>
      </c>
      <c r="D227" s="318" t="e">
        <f>VLOOKUP(B227,#REF!,7,0)</f>
        <v>#REF!</v>
      </c>
      <c r="E227" s="318" t="e">
        <f t="shared" si="21"/>
        <v>#REF!</v>
      </c>
      <c r="F227" s="318" t="e">
        <f>VLOOKUP(B227,#REF!,7,0)</f>
        <v>#REF!</v>
      </c>
      <c r="G227" s="97" t="e">
        <f t="shared" si="22"/>
        <v>#REF!</v>
      </c>
      <c r="H227" s="333" t="e">
        <f t="shared" si="23"/>
        <v>#REF!</v>
      </c>
      <c r="I227" s="433"/>
      <c r="K227" s="320"/>
      <c r="L227" s="320"/>
      <c r="M227" s="320"/>
    </row>
    <row r="228" spans="1:13" ht="15" x14ac:dyDescent="0.25">
      <c r="A228" s="437"/>
      <c r="B228" s="95">
        <v>182</v>
      </c>
      <c r="C228" s="96" t="s">
        <v>94</v>
      </c>
      <c r="D228" s="318" t="e">
        <f>VLOOKUP(B228,#REF!,7,0)</f>
        <v>#REF!</v>
      </c>
      <c r="E228" s="318" t="e">
        <f t="shared" si="21"/>
        <v>#REF!</v>
      </c>
      <c r="F228" s="318" t="e">
        <f>VLOOKUP(B228,#REF!,7,0)</f>
        <v>#REF!</v>
      </c>
      <c r="G228" s="97" t="e">
        <f t="shared" si="22"/>
        <v>#REF!</v>
      </c>
      <c r="H228" s="333" t="e">
        <f t="shared" si="23"/>
        <v>#REF!</v>
      </c>
      <c r="I228" s="433"/>
      <c r="K228" s="320"/>
      <c r="L228" s="320"/>
      <c r="M228" s="320"/>
    </row>
    <row r="229" spans="1:13" ht="15" x14ac:dyDescent="0.25">
      <c r="A229" s="437"/>
      <c r="B229" s="95">
        <v>271</v>
      </c>
      <c r="C229" s="96" t="s">
        <v>95</v>
      </c>
      <c r="D229" s="318" t="e">
        <f>VLOOKUP(B229,#REF!,7,0)</f>
        <v>#REF!</v>
      </c>
      <c r="E229" s="318" t="e">
        <f t="shared" si="21"/>
        <v>#REF!</v>
      </c>
      <c r="F229" s="318" t="e">
        <f>VLOOKUP(B229,#REF!,7,0)</f>
        <v>#REF!</v>
      </c>
      <c r="G229" s="97" t="e">
        <f t="shared" si="22"/>
        <v>#REF!</v>
      </c>
      <c r="H229" s="333" t="e">
        <f t="shared" si="23"/>
        <v>#REF!</v>
      </c>
      <c r="I229" s="433"/>
      <c r="K229" s="320"/>
      <c r="L229" s="320"/>
      <c r="M229" s="320"/>
    </row>
    <row r="230" spans="1:13" ht="15" x14ac:dyDescent="0.25">
      <c r="A230" s="437"/>
      <c r="B230" s="95">
        <v>407</v>
      </c>
      <c r="C230" s="96" t="s">
        <v>96</v>
      </c>
      <c r="D230" s="318" t="e">
        <f>VLOOKUP(B230,#REF!,7,0)</f>
        <v>#REF!</v>
      </c>
      <c r="E230" s="318" t="e">
        <f t="shared" si="21"/>
        <v>#REF!</v>
      </c>
      <c r="F230" s="318" t="e">
        <f>VLOOKUP(B230,#REF!,7,0)</f>
        <v>#REF!</v>
      </c>
      <c r="G230" s="97" t="e">
        <f t="shared" si="22"/>
        <v>#REF!</v>
      </c>
      <c r="H230" s="333" t="e">
        <f t="shared" si="23"/>
        <v>#REF!</v>
      </c>
      <c r="I230" s="433"/>
      <c r="K230" s="320"/>
      <c r="L230" s="320"/>
      <c r="M230" s="320"/>
    </row>
    <row r="231" spans="1:13" ht="15" x14ac:dyDescent="0.25">
      <c r="A231" s="437"/>
      <c r="B231" s="95">
        <v>424</v>
      </c>
      <c r="C231" s="96" t="s">
        <v>97</v>
      </c>
      <c r="D231" s="318" t="e">
        <f>VLOOKUP(B231,#REF!,7,0)</f>
        <v>#REF!</v>
      </c>
      <c r="E231" s="318" t="e">
        <f t="shared" si="21"/>
        <v>#REF!</v>
      </c>
      <c r="F231" s="318" t="e">
        <f>VLOOKUP(B231,#REF!,7,0)</f>
        <v>#REF!</v>
      </c>
      <c r="G231" s="97" t="e">
        <f t="shared" si="22"/>
        <v>#REF!</v>
      </c>
      <c r="H231" s="333" t="e">
        <f t="shared" si="23"/>
        <v>#REF!</v>
      </c>
      <c r="I231" s="433"/>
      <c r="K231" s="320"/>
      <c r="L231" s="320"/>
      <c r="M231" s="320"/>
    </row>
    <row r="232" spans="1:13" ht="15" x14ac:dyDescent="0.25">
      <c r="A232" s="437"/>
      <c r="B232" s="95">
        <v>502</v>
      </c>
      <c r="C232" s="96" t="s">
        <v>98</v>
      </c>
      <c r="D232" s="318" t="e">
        <f>VLOOKUP(B232,#REF!,7,0)</f>
        <v>#REF!</v>
      </c>
      <c r="E232" s="318" t="e">
        <f t="shared" si="21"/>
        <v>#REF!</v>
      </c>
      <c r="F232" s="318" t="e">
        <f>VLOOKUP(B232,#REF!,7,0)</f>
        <v>#REF!</v>
      </c>
      <c r="G232" s="97" t="e">
        <f t="shared" si="22"/>
        <v>#REF!</v>
      </c>
      <c r="H232" s="333" t="e">
        <f t="shared" si="23"/>
        <v>#REF!</v>
      </c>
      <c r="I232" s="433"/>
      <c r="K232" s="320"/>
      <c r="L232" s="320"/>
      <c r="M232" s="320"/>
    </row>
    <row r="233" spans="1:13" ht="15" x14ac:dyDescent="0.25">
      <c r="A233" s="437"/>
      <c r="B233" s="95">
        <v>533</v>
      </c>
      <c r="C233" s="96" t="s">
        <v>99</v>
      </c>
      <c r="D233" s="318" t="e">
        <f>VLOOKUP(B233,#REF!,7,0)</f>
        <v>#REF!</v>
      </c>
      <c r="E233" s="318" t="e">
        <f t="shared" si="21"/>
        <v>#REF!</v>
      </c>
      <c r="F233" s="318" t="e">
        <f>VLOOKUP(B233,#REF!,7,0)</f>
        <v>#REF!</v>
      </c>
      <c r="G233" s="97" t="e">
        <f t="shared" si="22"/>
        <v>#REF!</v>
      </c>
      <c r="H233" s="333" t="e">
        <f t="shared" si="23"/>
        <v>#REF!</v>
      </c>
      <c r="I233" s="433"/>
      <c r="K233" s="320"/>
      <c r="L233" s="320"/>
      <c r="M233" s="320"/>
    </row>
    <row r="234" spans="1:13" ht="15" x14ac:dyDescent="0.25">
      <c r="A234" s="437"/>
      <c r="B234" s="95">
        <v>719</v>
      </c>
      <c r="C234" s="96" t="s">
        <v>102</v>
      </c>
      <c r="D234" s="318" t="e">
        <f>VLOOKUP(B234,#REF!,7,0)</f>
        <v>#REF!</v>
      </c>
      <c r="E234" s="318" t="e">
        <f t="shared" si="21"/>
        <v>#REF!</v>
      </c>
      <c r="F234" s="318" t="e">
        <f>VLOOKUP(B234,#REF!,7,0)</f>
        <v>#REF!</v>
      </c>
      <c r="G234" s="97" t="e">
        <f t="shared" si="22"/>
        <v>#REF!</v>
      </c>
      <c r="H234" s="333" t="e">
        <f t="shared" si="23"/>
        <v>#REF!</v>
      </c>
      <c r="I234" s="433"/>
      <c r="K234" s="320"/>
      <c r="L234" s="320"/>
      <c r="M234" s="320"/>
    </row>
    <row r="235" spans="1:13" ht="15.75" thickBot="1" x14ac:dyDescent="0.3">
      <c r="A235" s="438"/>
      <c r="B235" s="95">
        <v>731</v>
      </c>
      <c r="C235" s="96" t="s">
        <v>103</v>
      </c>
      <c r="D235" s="318" t="e">
        <f>VLOOKUP(B235,#REF!,7,0)</f>
        <v>#REF!</v>
      </c>
      <c r="E235" s="318" t="e">
        <f t="shared" si="21"/>
        <v>#REF!</v>
      </c>
      <c r="F235" s="318" t="e">
        <f>VLOOKUP(B235,#REF!,7,0)</f>
        <v>#REF!</v>
      </c>
      <c r="G235" s="97" t="e">
        <f t="shared" si="22"/>
        <v>#REF!</v>
      </c>
      <c r="H235" s="333" t="e">
        <f t="shared" si="23"/>
        <v>#REF!</v>
      </c>
      <c r="I235" s="433"/>
      <c r="K235" s="320"/>
      <c r="L235" s="320"/>
      <c r="M235" s="320"/>
    </row>
    <row r="236" spans="1:13" ht="16.5" thickTop="1" thickBot="1" x14ac:dyDescent="0.25">
      <c r="A236" s="12"/>
      <c r="B236" s="60"/>
      <c r="C236" s="98" t="s">
        <v>7</v>
      </c>
      <c r="D236" s="319" t="e">
        <f>SUM(D224:D235)</f>
        <v>#REF!</v>
      </c>
      <c r="E236" s="319" t="e">
        <f>SUM(E224:E235)</f>
        <v>#REF!</v>
      </c>
      <c r="F236" s="319" t="e">
        <f>SUM(F224:F235)</f>
        <v>#REF!</v>
      </c>
      <c r="G236" s="94" t="e">
        <f t="shared" si="22"/>
        <v>#REF!</v>
      </c>
      <c r="H236" s="334" t="e">
        <f t="shared" si="23"/>
        <v>#REF!</v>
      </c>
      <c r="I236" s="433"/>
      <c r="K236" s="320"/>
      <c r="L236" s="320"/>
      <c r="M236" s="320"/>
    </row>
    <row r="237" spans="1:13" ht="13.5" thickTop="1" x14ac:dyDescent="0.2">
      <c r="A237" s="12"/>
      <c r="B237" s="60"/>
      <c r="C237" s="12"/>
      <c r="D237" s="12"/>
      <c r="E237" s="12"/>
      <c r="F237" s="12"/>
      <c r="G237" s="12"/>
      <c r="H237" s="12"/>
      <c r="I237" s="433"/>
      <c r="K237" s="320"/>
      <c r="L237" s="320"/>
      <c r="M237" s="320"/>
    </row>
    <row r="238" spans="1:13" x14ac:dyDescent="0.2">
      <c r="A238" s="12"/>
      <c r="B238" s="60"/>
      <c r="C238" s="12"/>
      <c r="D238" s="316" t="s">
        <v>8</v>
      </c>
      <c r="E238" s="368" t="s">
        <v>13</v>
      </c>
      <c r="F238" s="369"/>
      <c r="G238" s="89" t="s">
        <v>14</v>
      </c>
      <c r="H238" s="91"/>
      <c r="I238" s="433"/>
      <c r="K238" s="320"/>
      <c r="L238" s="320"/>
      <c r="M238" s="320"/>
    </row>
    <row r="239" spans="1:13" ht="15" x14ac:dyDescent="0.25">
      <c r="A239" s="439" t="s">
        <v>16</v>
      </c>
      <c r="B239" s="95">
        <v>12</v>
      </c>
      <c r="C239" s="96" t="s">
        <v>90</v>
      </c>
      <c r="D239" s="317" t="e">
        <f>VLOOKUP(B239,#REF!,3,0)</f>
        <v>#REF!</v>
      </c>
      <c r="E239" s="442" t="e">
        <f>INDEX(#REF!,MATCH(B239,#REF!,0),MATCH(#REF!,#REF!,0))</f>
        <v>#REF!</v>
      </c>
      <c r="F239" s="442"/>
      <c r="G239" s="99" t="e">
        <f>(D239-E239)/E239</f>
        <v>#REF!</v>
      </c>
      <c r="H239" s="12"/>
      <c r="I239" s="433"/>
      <c r="K239" s="320"/>
      <c r="L239" s="320"/>
      <c r="M239" s="320"/>
    </row>
    <row r="240" spans="1:13" ht="15" x14ac:dyDescent="0.25">
      <c r="A240" s="440"/>
      <c r="B240" s="95">
        <v>93</v>
      </c>
      <c r="C240" s="96" t="s">
        <v>91</v>
      </c>
      <c r="D240" s="317" t="e">
        <f>VLOOKUP(B240,#REF!,3,0)</f>
        <v>#REF!</v>
      </c>
      <c r="E240" s="442" t="e">
        <f>INDEX(#REF!,MATCH(B240,#REF!,0),MATCH(#REF!,#REF!,0))</f>
        <v>#REF!</v>
      </c>
      <c r="F240" s="442"/>
      <c r="G240" s="99" t="e">
        <f t="shared" ref="G240:G250" si="24">(D240-E240)/E240</f>
        <v>#REF!</v>
      </c>
      <c r="H240" s="12"/>
      <c r="I240" s="433"/>
      <c r="K240" s="320"/>
      <c r="L240" s="320"/>
      <c r="M240" s="320"/>
    </row>
    <row r="241" spans="1:13" ht="15" x14ac:dyDescent="0.25">
      <c r="A241" s="440"/>
      <c r="B241" s="95">
        <v>117</v>
      </c>
      <c r="C241" s="96" t="s">
        <v>92</v>
      </c>
      <c r="D241" s="317" t="e">
        <f>VLOOKUP(B241,#REF!,3,0)</f>
        <v>#REF!</v>
      </c>
      <c r="E241" s="442" t="e">
        <f>INDEX(#REF!,MATCH(B241,#REF!,0),MATCH(#REF!,#REF!,0))</f>
        <v>#REF!</v>
      </c>
      <c r="F241" s="442"/>
      <c r="G241" s="99" t="e">
        <f t="shared" si="24"/>
        <v>#REF!</v>
      </c>
      <c r="H241" s="12"/>
      <c r="I241" s="433"/>
      <c r="K241" s="320"/>
      <c r="L241" s="320"/>
      <c r="M241" s="320"/>
    </row>
    <row r="242" spans="1:13" ht="15" x14ac:dyDescent="0.25">
      <c r="A242" s="440"/>
      <c r="B242" s="95">
        <v>153</v>
      </c>
      <c r="C242" s="96" t="s">
        <v>93</v>
      </c>
      <c r="D242" s="317" t="e">
        <f>VLOOKUP(B242,#REF!,3,0)</f>
        <v>#REF!</v>
      </c>
      <c r="E242" s="442" t="e">
        <f>INDEX(#REF!,MATCH(B242,#REF!,0),MATCH(#REF!,#REF!,0))</f>
        <v>#REF!</v>
      </c>
      <c r="F242" s="442"/>
      <c r="G242" s="99" t="e">
        <f t="shared" si="24"/>
        <v>#REF!</v>
      </c>
      <c r="H242" s="12"/>
      <c r="I242" s="433"/>
      <c r="K242" s="320"/>
      <c r="L242" s="320"/>
      <c r="M242" s="320"/>
    </row>
    <row r="243" spans="1:13" ht="15" x14ac:dyDescent="0.25">
      <c r="A243" s="440"/>
      <c r="B243" s="95">
        <v>182</v>
      </c>
      <c r="C243" s="96" t="s">
        <v>94</v>
      </c>
      <c r="D243" s="317" t="e">
        <f>VLOOKUP(B243,#REF!,3,0)</f>
        <v>#REF!</v>
      </c>
      <c r="E243" s="442" t="e">
        <f>INDEX(#REF!,MATCH(B243,#REF!,0),MATCH(#REF!,#REF!,0))</f>
        <v>#REF!</v>
      </c>
      <c r="F243" s="442"/>
      <c r="G243" s="99" t="e">
        <f t="shared" si="24"/>
        <v>#REF!</v>
      </c>
      <c r="H243" s="12"/>
      <c r="I243" s="433"/>
      <c r="K243" s="320"/>
      <c r="L243" s="320"/>
      <c r="M243" s="320"/>
    </row>
    <row r="244" spans="1:13" ht="15" x14ac:dyDescent="0.25">
      <c r="A244" s="440"/>
      <c r="B244" s="95">
        <v>271</v>
      </c>
      <c r="C244" s="96" t="s">
        <v>95</v>
      </c>
      <c r="D244" s="317" t="e">
        <f>VLOOKUP(B244,#REF!,3,0)</f>
        <v>#REF!</v>
      </c>
      <c r="E244" s="442" t="e">
        <f>INDEX(#REF!,MATCH(B244,#REF!,0),MATCH(#REF!,#REF!,0))</f>
        <v>#REF!</v>
      </c>
      <c r="F244" s="442"/>
      <c r="G244" s="99" t="e">
        <f t="shared" si="24"/>
        <v>#REF!</v>
      </c>
      <c r="H244" s="12"/>
      <c r="I244" s="433"/>
      <c r="K244" s="320"/>
      <c r="L244" s="320"/>
      <c r="M244" s="320"/>
    </row>
    <row r="245" spans="1:13" ht="15" x14ac:dyDescent="0.25">
      <c r="A245" s="440"/>
      <c r="B245" s="95">
        <v>407</v>
      </c>
      <c r="C245" s="96" t="s">
        <v>96</v>
      </c>
      <c r="D245" s="317" t="e">
        <f>VLOOKUP(B245,#REF!,3,0)</f>
        <v>#REF!</v>
      </c>
      <c r="E245" s="442" t="e">
        <f>INDEX(#REF!,MATCH(B245,#REF!,0),MATCH(#REF!,#REF!,0))</f>
        <v>#REF!</v>
      </c>
      <c r="F245" s="442"/>
      <c r="G245" s="99" t="e">
        <f t="shared" si="24"/>
        <v>#REF!</v>
      </c>
      <c r="H245" s="12"/>
      <c r="I245" s="433"/>
      <c r="K245" s="320"/>
      <c r="L245" s="320"/>
      <c r="M245" s="320"/>
    </row>
    <row r="246" spans="1:13" ht="15" x14ac:dyDescent="0.25">
      <c r="A246" s="440"/>
      <c r="B246" s="95">
        <v>424</v>
      </c>
      <c r="C246" s="96" t="s">
        <v>97</v>
      </c>
      <c r="D246" s="317" t="e">
        <f>VLOOKUP(B246,#REF!,3,0)</f>
        <v>#REF!</v>
      </c>
      <c r="E246" s="442" t="e">
        <f>INDEX(#REF!,MATCH(B246,#REF!,0),MATCH(#REF!,#REF!,0))</f>
        <v>#REF!</v>
      </c>
      <c r="F246" s="442"/>
      <c r="G246" s="99" t="e">
        <f t="shared" si="24"/>
        <v>#REF!</v>
      </c>
      <c r="H246" s="12"/>
      <c r="I246" s="433"/>
      <c r="K246" s="320"/>
      <c r="L246" s="320"/>
      <c r="M246" s="320"/>
    </row>
    <row r="247" spans="1:13" ht="15" x14ac:dyDescent="0.25">
      <c r="A247" s="440"/>
      <c r="B247" s="95">
        <v>502</v>
      </c>
      <c r="C247" s="96" t="s">
        <v>98</v>
      </c>
      <c r="D247" s="317" t="e">
        <f>VLOOKUP(B247,#REF!,3,0)</f>
        <v>#REF!</v>
      </c>
      <c r="E247" s="442" t="e">
        <f>INDEX(#REF!,MATCH(B247,#REF!,0),MATCH(#REF!,#REF!,0))</f>
        <v>#REF!</v>
      </c>
      <c r="F247" s="442"/>
      <c r="G247" s="99" t="e">
        <f t="shared" si="24"/>
        <v>#REF!</v>
      </c>
      <c r="H247" s="26"/>
      <c r="I247" s="433"/>
      <c r="K247" s="320"/>
      <c r="L247" s="320"/>
      <c r="M247" s="320"/>
    </row>
    <row r="248" spans="1:13" ht="15" x14ac:dyDescent="0.25">
      <c r="A248" s="440"/>
      <c r="B248" s="95">
        <v>533</v>
      </c>
      <c r="C248" s="96" t="s">
        <v>99</v>
      </c>
      <c r="D248" s="317" t="e">
        <f>VLOOKUP(B248,#REF!,3,0)</f>
        <v>#REF!</v>
      </c>
      <c r="E248" s="442" t="e">
        <f>INDEX(#REF!,MATCH(B248,#REF!,0),MATCH(#REF!,#REF!,0))</f>
        <v>#REF!</v>
      </c>
      <c r="F248" s="442"/>
      <c r="G248" s="99" t="e">
        <f t="shared" si="24"/>
        <v>#REF!</v>
      </c>
      <c r="H248" s="12"/>
      <c r="I248" s="433"/>
      <c r="K248" s="320"/>
      <c r="L248" s="320"/>
      <c r="M248" s="320"/>
    </row>
    <row r="249" spans="1:13" ht="15" x14ac:dyDescent="0.25">
      <c r="A249" s="440"/>
      <c r="B249" s="95">
        <v>719</v>
      </c>
      <c r="C249" s="96" t="s">
        <v>102</v>
      </c>
      <c r="D249" s="317" t="e">
        <f>VLOOKUP(B249,#REF!,3,0)</f>
        <v>#REF!</v>
      </c>
      <c r="E249" s="442" t="e">
        <f>INDEX(#REF!,MATCH(B249,#REF!,0),MATCH(#REF!,#REF!,0))</f>
        <v>#REF!</v>
      </c>
      <c r="F249" s="442"/>
      <c r="G249" s="99" t="e">
        <f t="shared" si="24"/>
        <v>#REF!</v>
      </c>
      <c r="H249" s="12"/>
      <c r="I249" s="433"/>
      <c r="K249" s="320"/>
      <c r="L249" s="320"/>
      <c r="M249" s="320"/>
    </row>
    <row r="250" spans="1:13" ht="15.75" thickBot="1" x14ac:dyDescent="0.3">
      <c r="A250" s="441"/>
      <c r="B250" s="95">
        <v>731</v>
      </c>
      <c r="C250" s="96" t="s">
        <v>103</v>
      </c>
      <c r="D250" s="317" t="e">
        <f>VLOOKUP(B250,#REF!,3,0)</f>
        <v>#REF!</v>
      </c>
      <c r="E250" s="442" t="e">
        <f>INDEX(#REF!,MATCH(B250,#REF!,0),MATCH(#REF!,#REF!,0))</f>
        <v>#REF!</v>
      </c>
      <c r="F250" s="442"/>
      <c r="G250" s="99" t="e">
        <f t="shared" si="24"/>
        <v>#REF!</v>
      </c>
      <c r="H250" s="12"/>
      <c r="I250" s="433"/>
      <c r="K250" s="320"/>
      <c r="L250" s="320"/>
      <c r="M250" s="320"/>
    </row>
    <row r="251" spans="1:13" ht="16.5" thickTop="1" thickBot="1" x14ac:dyDescent="0.25">
      <c r="A251" s="13"/>
      <c r="B251" s="86"/>
      <c r="C251" s="98" t="s">
        <v>7</v>
      </c>
      <c r="D251" s="226" t="e">
        <f>SUM(D239:D249)</f>
        <v>#REF!</v>
      </c>
      <c r="E251" s="431" t="e">
        <f>SUM(E239:E250)</f>
        <v>#REF!</v>
      </c>
      <c r="F251" s="431"/>
      <c r="G251" s="100" t="e">
        <f>(D251-E251)/E251</f>
        <v>#REF!</v>
      </c>
      <c r="H251" s="12"/>
      <c r="I251" s="434"/>
      <c r="K251" s="320"/>
      <c r="L251" s="320"/>
      <c r="M251" s="320"/>
    </row>
    <row r="252" spans="1:13" ht="13.5" thickTop="1" x14ac:dyDescent="0.2"/>
    <row r="254" spans="1:13" ht="12.75" customHeight="1" x14ac:dyDescent="0.2">
      <c r="A254" s="106"/>
      <c r="B254" s="107"/>
      <c r="C254" s="106"/>
      <c r="D254" s="108"/>
      <c r="E254" s="108"/>
      <c r="F254" s="108"/>
      <c r="G254" s="83" t="s">
        <v>23</v>
      </c>
      <c r="H254" s="331" t="s">
        <v>4</v>
      </c>
      <c r="I254" s="432" t="s">
        <v>114</v>
      </c>
      <c r="K254" s="320"/>
      <c r="L254" s="320"/>
      <c r="M254" s="320"/>
    </row>
    <row r="255" spans="1:13" x14ac:dyDescent="0.2">
      <c r="A255" s="93" t="s">
        <v>113</v>
      </c>
      <c r="B255" s="92"/>
      <c r="C255" s="13"/>
      <c r="D255" s="12"/>
      <c r="E255" s="12"/>
      <c r="F255" s="12"/>
      <c r="G255" s="82">
        <f>DATE($L$2,$K$2+1,0)</f>
        <v>0</v>
      </c>
      <c r="H255" s="332">
        <f>$K$3</f>
        <v>0</v>
      </c>
      <c r="I255" s="433"/>
      <c r="K255" s="320"/>
      <c r="L255" s="320"/>
      <c r="M255" s="320"/>
    </row>
    <row r="256" spans="1:13" x14ac:dyDescent="0.2">
      <c r="A256" s="12"/>
      <c r="B256" s="12"/>
      <c r="C256" s="12"/>
      <c r="D256" s="17"/>
      <c r="E256" s="12"/>
      <c r="F256" s="12"/>
      <c r="G256" s="12"/>
      <c r="H256" s="12"/>
      <c r="I256" s="433"/>
      <c r="K256" s="320"/>
      <c r="L256" s="320"/>
      <c r="M256" s="320"/>
    </row>
    <row r="257" spans="1:13" x14ac:dyDescent="0.2">
      <c r="A257" s="12"/>
      <c r="B257" s="12"/>
      <c r="C257" s="88"/>
      <c r="D257" s="316" t="s">
        <v>8</v>
      </c>
      <c r="E257" s="89" t="s">
        <v>9</v>
      </c>
      <c r="F257" s="316" t="s">
        <v>10</v>
      </c>
      <c r="G257" s="90" t="s">
        <v>11</v>
      </c>
      <c r="H257" s="316" t="s">
        <v>12</v>
      </c>
      <c r="I257" s="433"/>
      <c r="K257" s="320"/>
      <c r="L257" s="320"/>
      <c r="M257" s="320"/>
    </row>
    <row r="258" spans="1:13" ht="15" x14ac:dyDescent="0.25">
      <c r="A258" s="436" t="s">
        <v>15</v>
      </c>
      <c r="B258" s="95">
        <v>12</v>
      </c>
      <c r="C258" s="96" t="s">
        <v>90</v>
      </c>
      <c r="D258" s="318" t="e">
        <f>VLOOKUP(B258,#REF!,7,0)</f>
        <v>#REF!</v>
      </c>
      <c r="E258" s="318" t="e">
        <f>F258*$K$3</f>
        <v>#REF!</v>
      </c>
      <c r="F258" s="318" t="e">
        <f>VLOOKUP(B258,#REF!,7,0)</f>
        <v>#REF!</v>
      </c>
      <c r="G258" s="97" t="e">
        <f>D258/E258</f>
        <v>#REF!</v>
      </c>
      <c r="H258" s="333" t="e">
        <f>D258/F258</f>
        <v>#REF!</v>
      </c>
      <c r="I258" s="433"/>
      <c r="K258" s="320"/>
      <c r="L258" s="320"/>
      <c r="M258" s="320"/>
    </row>
    <row r="259" spans="1:13" ht="15" x14ac:dyDescent="0.25">
      <c r="A259" s="437"/>
      <c r="B259" s="95">
        <v>93</v>
      </c>
      <c r="C259" s="96" t="s">
        <v>91</v>
      </c>
      <c r="D259" s="318" t="e">
        <f>VLOOKUP(B259,#REF!,7,0)</f>
        <v>#REF!</v>
      </c>
      <c r="E259" s="318" t="e">
        <f t="shared" ref="E259:E269" si="25">F259*$K$3</f>
        <v>#REF!</v>
      </c>
      <c r="F259" s="318" t="e">
        <f>VLOOKUP(B259,#REF!,7,0)</f>
        <v>#REF!</v>
      </c>
      <c r="G259" s="97" t="e">
        <f t="shared" ref="G259:G270" si="26">D259/E259</f>
        <v>#REF!</v>
      </c>
      <c r="H259" s="333" t="e">
        <f t="shared" ref="H259:H270" si="27">D259/F259</f>
        <v>#REF!</v>
      </c>
      <c r="I259" s="433"/>
      <c r="K259" s="320"/>
      <c r="L259" s="320"/>
      <c r="M259" s="320"/>
    </row>
    <row r="260" spans="1:13" ht="15" x14ac:dyDescent="0.25">
      <c r="A260" s="437"/>
      <c r="B260" s="95">
        <v>117</v>
      </c>
      <c r="C260" s="96" t="s">
        <v>92</v>
      </c>
      <c r="D260" s="318" t="e">
        <f>VLOOKUP(B260,#REF!,7,0)</f>
        <v>#REF!</v>
      </c>
      <c r="E260" s="318" t="e">
        <f t="shared" si="25"/>
        <v>#REF!</v>
      </c>
      <c r="F260" s="318" t="e">
        <f>VLOOKUP(B260,#REF!,7,0)</f>
        <v>#REF!</v>
      </c>
      <c r="G260" s="97" t="e">
        <f t="shared" si="26"/>
        <v>#REF!</v>
      </c>
      <c r="H260" s="333" t="e">
        <f t="shared" si="27"/>
        <v>#REF!</v>
      </c>
      <c r="I260" s="433"/>
      <c r="K260" s="320"/>
      <c r="L260" s="320"/>
      <c r="M260" s="320"/>
    </row>
    <row r="261" spans="1:13" ht="15" x14ac:dyDescent="0.25">
      <c r="A261" s="437"/>
      <c r="B261" s="95">
        <v>153</v>
      </c>
      <c r="C261" s="96" t="s">
        <v>93</v>
      </c>
      <c r="D261" s="318" t="e">
        <f>VLOOKUP(B261,#REF!,7,0)</f>
        <v>#REF!</v>
      </c>
      <c r="E261" s="318" t="e">
        <f t="shared" si="25"/>
        <v>#REF!</v>
      </c>
      <c r="F261" s="318" t="e">
        <f>VLOOKUP(B261,#REF!,7,0)</f>
        <v>#REF!</v>
      </c>
      <c r="G261" s="97" t="e">
        <f t="shared" si="26"/>
        <v>#REF!</v>
      </c>
      <c r="H261" s="333" t="e">
        <f t="shared" si="27"/>
        <v>#REF!</v>
      </c>
      <c r="I261" s="433"/>
      <c r="K261" s="320"/>
      <c r="L261" s="320"/>
      <c r="M261" s="320"/>
    </row>
    <row r="262" spans="1:13" ht="15" x14ac:dyDescent="0.25">
      <c r="A262" s="437"/>
      <c r="B262" s="95">
        <v>182</v>
      </c>
      <c r="C262" s="96" t="s">
        <v>94</v>
      </c>
      <c r="D262" s="318" t="e">
        <f>VLOOKUP(B262,#REF!,7,0)</f>
        <v>#REF!</v>
      </c>
      <c r="E262" s="318" t="e">
        <f t="shared" si="25"/>
        <v>#REF!</v>
      </c>
      <c r="F262" s="318" t="e">
        <f>VLOOKUP(B262,#REF!,7,0)</f>
        <v>#REF!</v>
      </c>
      <c r="G262" s="97" t="e">
        <f t="shared" si="26"/>
        <v>#REF!</v>
      </c>
      <c r="H262" s="333" t="e">
        <f t="shared" si="27"/>
        <v>#REF!</v>
      </c>
      <c r="I262" s="433"/>
      <c r="K262" s="320"/>
      <c r="L262" s="320"/>
      <c r="M262" s="320"/>
    </row>
    <row r="263" spans="1:13" ht="15" x14ac:dyDescent="0.25">
      <c r="A263" s="437"/>
      <c r="B263" s="95">
        <v>271</v>
      </c>
      <c r="C263" s="96" t="s">
        <v>95</v>
      </c>
      <c r="D263" s="318" t="e">
        <f>VLOOKUP(B263,#REF!,7,0)</f>
        <v>#REF!</v>
      </c>
      <c r="E263" s="318" t="e">
        <f t="shared" si="25"/>
        <v>#REF!</v>
      </c>
      <c r="F263" s="318" t="e">
        <f>VLOOKUP(B263,#REF!,7,0)</f>
        <v>#REF!</v>
      </c>
      <c r="G263" s="97" t="e">
        <f t="shared" si="26"/>
        <v>#REF!</v>
      </c>
      <c r="H263" s="333" t="e">
        <f t="shared" si="27"/>
        <v>#REF!</v>
      </c>
      <c r="I263" s="433"/>
      <c r="K263" s="320"/>
      <c r="L263" s="320"/>
      <c r="M263" s="320"/>
    </row>
    <row r="264" spans="1:13" ht="15" x14ac:dyDescent="0.25">
      <c r="A264" s="437"/>
      <c r="B264" s="95">
        <v>407</v>
      </c>
      <c r="C264" s="96" t="s">
        <v>96</v>
      </c>
      <c r="D264" s="318" t="e">
        <f>VLOOKUP(B264,#REF!,7,0)</f>
        <v>#REF!</v>
      </c>
      <c r="E264" s="318" t="e">
        <f t="shared" si="25"/>
        <v>#REF!</v>
      </c>
      <c r="F264" s="318" t="e">
        <f>VLOOKUP(B264,#REF!,7,0)</f>
        <v>#REF!</v>
      </c>
      <c r="G264" s="97" t="e">
        <f t="shared" si="26"/>
        <v>#REF!</v>
      </c>
      <c r="H264" s="333" t="e">
        <f t="shared" si="27"/>
        <v>#REF!</v>
      </c>
      <c r="I264" s="433"/>
      <c r="K264" s="320"/>
      <c r="L264" s="320"/>
      <c r="M264" s="320"/>
    </row>
    <row r="265" spans="1:13" ht="15" x14ac:dyDescent="0.25">
      <c r="A265" s="437"/>
      <c r="B265" s="95">
        <v>424</v>
      </c>
      <c r="C265" s="96" t="s">
        <v>97</v>
      </c>
      <c r="D265" s="318" t="e">
        <f>VLOOKUP(B265,#REF!,7,0)</f>
        <v>#REF!</v>
      </c>
      <c r="E265" s="318" t="e">
        <f t="shared" si="25"/>
        <v>#REF!</v>
      </c>
      <c r="F265" s="318" t="e">
        <f>VLOOKUP(B265,#REF!,7,0)</f>
        <v>#REF!</v>
      </c>
      <c r="G265" s="97" t="e">
        <f t="shared" si="26"/>
        <v>#REF!</v>
      </c>
      <c r="H265" s="333" t="e">
        <f t="shared" si="27"/>
        <v>#REF!</v>
      </c>
      <c r="I265" s="433"/>
      <c r="K265" s="320"/>
      <c r="L265" s="320"/>
      <c r="M265" s="320"/>
    </row>
    <row r="266" spans="1:13" ht="15" x14ac:dyDescent="0.25">
      <c r="A266" s="437"/>
      <c r="B266" s="95">
        <v>502</v>
      </c>
      <c r="C266" s="96" t="s">
        <v>98</v>
      </c>
      <c r="D266" s="318" t="e">
        <f>VLOOKUP(B266,#REF!,7,0)</f>
        <v>#REF!</v>
      </c>
      <c r="E266" s="318" t="e">
        <f t="shared" si="25"/>
        <v>#REF!</v>
      </c>
      <c r="F266" s="318" t="e">
        <f>VLOOKUP(B266,#REF!,7,0)</f>
        <v>#REF!</v>
      </c>
      <c r="G266" s="97" t="e">
        <f t="shared" si="26"/>
        <v>#REF!</v>
      </c>
      <c r="H266" s="333" t="e">
        <f t="shared" si="27"/>
        <v>#REF!</v>
      </c>
      <c r="I266" s="433"/>
      <c r="K266" s="320"/>
      <c r="L266" s="320"/>
      <c r="M266" s="320"/>
    </row>
    <row r="267" spans="1:13" ht="15" x14ac:dyDescent="0.25">
      <c r="A267" s="437"/>
      <c r="B267" s="95">
        <v>533</v>
      </c>
      <c r="C267" s="96" t="s">
        <v>99</v>
      </c>
      <c r="D267" s="318" t="e">
        <f>VLOOKUP(B267,#REF!,7,0)</f>
        <v>#REF!</v>
      </c>
      <c r="E267" s="318" t="e">
        <f t="shared" si="25"/>
        <v>#REF!</v>
      </c>
      <c r="F267" s="318" t="e">
        <f>VLOOKUP(B267,#REF!,7,0)</f>
        <v>#REF!</v>
      </c>
      <c r="G267" s="97" t="e">
        <f t="shared" si="26"/>
        <v>#REF!</v>
      </c>
      <c r="H267" s="333" t="e">
        <f t="shared" si="27"/>
        <v>#REF!</v>
      </c>
      <c r="I267" s="433"/>
      <c r="K267" s="320"/>
      <c r="L267" s="320"/>
      <c r="M267" s="320"/>
    </row>
    <row r="268" spans="1:13" ht="15" x14ac:dyDescent="0.25">
      <c r="A268" s="437"/>
      <c r="B268" s="95">
        <v>719</v>
      </c>
      <c r="C268" s="96" t="s">
        <v>102</v>
      </c>
      <c r="D268" s="318" t="e">
        <f>VLOOKUP(B268,#REF!,7,0)</f>
        <v>#REF!</v>
      </c>
      <c r="E268" s="318" t="e">
        <f t="shared" si="25"/>
        <v>#REF!</v>
      </c>
      <c r="F268" s="318" t="e">
        <f>VLOOKUP(B268,#REF!,7,0)</f>
        <v>#REF!</v>
      </c>
      <c r="G268" s="97" t="e">
        <f t="shared" si="26"/>
        <v>#REF!</v>
      </c>
      <c r="H268" s="333" t="e">
        <f t="shared" si="27"/>
        <v>#REF!</v>
      </c>
      <c r="I268" s="433"/>
      <c r="K268" s="320"/>
      <c r="L268" s="320"/>
      <c r="M268" s="320"/>
    </row>
    <row r="269" spans="1:13" ht="15.75" thickBot="1" x14ac:dyDescent="0.3">
      <c r="A269" s="438"/>
      <c r="B269" s="95">
        <v>731</v>
      </c>
      <c r="C269" s="96" t="s">
        <v>103</v>
      </c>
      <c r="D269" s="318" t="e">
        <f>VLOOKUP(B269,#REF!,7,0)</f>
        <v>#REF!</v>
      </c>
      <c r="E269" s="318" t="e">
        <f t="shared" si="25"/>
        <v>#REF!</v>
      </c>
      <c r="F269" s="318" t="e">
        <f>VLOOKUP(B269,#REF!,7,0)</f>
        <v>#REF!</v>
      </c>
      <c r="G269" s="97" t="e">
        <f t="shared" si="26"/>
        <v>#REF!</v>
      </c>
      <c r="H269" s="333" t="e">
        <f t="shared" si="27"/>
        <v>#REF!</v>
      </c>
      <c r="I269" s="433"/>
      <c r="K269" s="320"/>
      <c r="L269" s="320"/>
      <c r="M269" s="320"/>
    </row>
    <row r="270" spans="1:13" ht="16.5" thickTop="1" thickBot="1" x14ac:dyDescent="0.25">
      <c r="A270" s="12"/>
      <c r="B270" s="60"/>
      <c r="C270" s="98" t="s">
        <v>7</v>
      </c>
      <c r="D270" s="319" t="e">
        <f>SUM(D258:D269)</f>
        <v>#REF!</v>
      </c>
      <c r="E270" s="319" t="e">
        <f>SUM(E258:E269)</f>
        <v>#REF!</v>
      </c>
      <c r="F270" s="319" t="e">
        <f>SUM(F258:F269)</f>
        <v>#REF!</v>
      </c>
      <c r="G270" s="94" t="e">
        <f t="shared" si="26"/>
        <v>#REF!</v>
      </c>
      <c r="H270" s="334" t="e">
        <f t="shared" si="27"/>
        <v>#REF!</v>
      </c>
      <c r="I270" s="433"/>
      <c r="K270" s="320"/>
      <c r="L270" s="320"/>
      <c r="M270" s="320"/>
    </row>
    <row r="271" spans="1:13" ht="13.5" thickTop="1" x14ac:dyDescent="0.2">
      <c r="A271" s="12"/>
      <c r="B271" s="60"/>
      <c r="C271" s="12"/>
      <c r="D271" s="12"/>
      <c r="E271" s="12"/>
      <c r="F271" s="12"/>
      <c r="G271" s="12"/>
      <c r="H271" s="12"/>
      <c r="I271" s="433"/>
      <c r="K271" s="320"/>
      <c r="L271" s="320"/>
      <c r="M271" s="320"/>
    </row>
    <row r="272" spans="1:13" x14ac:dyDescent="0.2">
      <c r="A272" s="12"/>
      <c r="B272" s="60"/>
      <c r="C272" s="12"/>
      <c r="D272" s="316" t="s">
        <v>8</v>
      </c>
      <c r="E272" s="368" t="s">
        <v>13</v>
      </c>
      <c r="F272" s="369"/>
      <c r="G272" s="89" t="s">
        <v>14</v>
      </c>
      <c r="H272" s="91"/>
      <c r="I272" s="433"/>
      <c r="K272" s="320"/>
      <c r="L272" s="320"/>
      <c r="M272" s="320"/>
    </row>
    <row r="273" spans="1:13" ht="15" x14ac:dyDescent="0.25">
      <c r="A273" s="439" t="s">
        <v>16</v>
      </c>
      <c r="B273" s="95">
        <v>12</v>
      </c>
      <c r="C273" s="96" t="s">
        <v>90</v>
      </c>
      <c r="D273" s="317" t="e">
        <f>VLOOKUP(B273,#REF!,3,0)</f>
        <v>#REF!</v>
      </c>
      <c r="E273" s="442" t="e">
        <f>INDEX(#REF!,MATCH(B273,#REF!,0),MATCH(#REF!,#REF!,0))</f>
        <v>#REF!</v>
      </c>
      <c r="F273" s="442"/>
      <c r="G273" s="99" t="e">
        <f>(D273-E273)/E273</f>
        <v>#REF!</v>
      </c>
      <c r="H273" s="12"/>
      <c r="I273" s="433"/>
      <c r="K273" s="320"/>
      <c r="L273" s="320"/>
      <c r="M273" s="320"/>
    </row>
    <row r="274" spans="1:13" ht="15" x14ac:dyDescent="0.25">
      <c r="A274" s="440"/>
      <c r="B274" s="95">
        <v>93</v>
      </c>
      <c r="C274" s="96" t="s">
        <v>91</v>
      </c>
      <c r="D274" s="317" t="e">
        <f>VLOOKUP(B274,#REF!,3,0)</f>
        <v>#REF!</v>
      </c>
      <c r="E274" s="442" t="e">
        <f>INDEX(#REF!,MATCH(B274,#REF!,0),MATCH(#REF!,#REF!,0))</f>
        <v>#REF!</v>
      </c>
      <c r="F274" s="442"/>
      <c r="G274" s="99" t="e">
        <f t="shared" ref="G274:G284" si="28">(D274-E274)/E274</f>
        <v>#REF!</v>
      </c>
      <c r="H274" s="12"/>
      <c r="I274" s="433"/>
      <c r="K274" s="320"/>
      <c r="L274" s="320"/>
      <c r="M274" s="320"/>
    </row>
    <row r="275" spans="1:13" ht="15" x14ac:dyDescent="0.25">
      <c r="A275" s="440"/>
      <c r="B275" s="95">
        <v>117</v>
      </c>
      <c r="C275" s="96" t="s">
        <v>92</v>
      </c>
      <c r="D275" s="317" t="e">
        <f>VLOOKUP(B275,#REF!,3,0)</f>
        <v>#REF!</v>
      </c>
      <c r="E275" s="442" t="e">
        <f>INDEX(#REF!,MATCH(B275,#REF!,0),MATCH(#REF!,#REF!,0))</f>
        <v>#REF!</v>
      </c>
      <c r="F275" s="442"/>
      <c r="G275" s="99" t="e">
        <f t="shared" si="28"/>
        <v>#REF!</v>
      </c>
      <c r="H275" s="12"/>
      <c r="I275" s="433"/>
      <c r="K275" s="320"/>
      <c r="L275" s="320"/>
      <c r="M275" s="320"/>
    </row>
    <row r="276" spans="1:13" ht="15" x14ac:dyDescent="0.25">
      <c r="A276" s="440"/>
      <c r="B276" s="95">
        <v>153</v>
      </c>
      <c r="C276" s="96" t="s">
        <v>93</v>
      </c>
      <c r="D276" s="317" t="e">
        <f>VLOOKUP(B276,#REF!,3,0)</f>
        <v>#REF!</v>
      </c>
      <c r="E276" s="442" t="e">
        <f>INDEX(#REF!,MATCH(B276,#REF!,0),MATCH(#REF!,#REF!,0))</f>
        <v>#REF!</v>
      </c>
      <c r="F276" s="442"/>
      <c r="G276" s="99" t="e">
        <f t="shared" si="28"/>
        <v>#REF!</v>
      </c>
      <c r="H276" s="12"/>
      <c r="I276" s="433"/>
      <c r="K276" s="320"/>
      <c r="L276" s="320"/>
      <c r="M276" s="320"/>
    </row>
    <row r="277" spans="1:13" ht="15" x14ac:dyDescent="0.25">
      <c r="A277" s="440"/>
      <c r="B277" s="95">
        <v>182</v>
      </c>
      <c r="C277" s="96" t="s">
        <v>94</v>
      </c>
      <c r="D277" s="317" t="e">
        <f>VLOOKUP(B277,#REF!,3,0)</f>
        <v>#REF!</v>
      </c>
      <c r="E277" s="442" t="e">
        <f>INDEX(#REF!,MATCH(B277,#REF!,0),MATCH(#REF!,#REF!,0))</f>
        <v>#REF!</v>
      </c>
      <c r="F277" s="442"/>
      <c r="G277" s="99" t="e">
        <f t="shared" si="28"/>
        <v>#REF!</v>
      </c>
      <c r="H277" s="12"/>
      <c r="I277" s="433"/>
      <c r="K277" s="320"/>
      <c r="L277" s="320"/>
      <c r="M277" s="320"/>
    </row>
    <row r="278" spans="1:13" ht="15" x14ac:dyDescent="0.25">
      <c r="A278" s="440"/>
      <c r="B278" s="95">
        <v>271</v>
      </c>
      <c r="C278" s="96" t="s">
        <v>95</v>
      </c>
      <c r="D278" s="317" t="e">
        <f>VLOOKUP(B278,#REF!,3,0)</f>
        <v>#REF!</v>
      </c>
      <c r="E278" s="442" t="e">
        <f>INDEX(#REF!,MATCH(B278,#REF!,0),MATCH(#REF!,#REF!,0))</f>
        <v>#REF!</v>
      </c>
      <c r="F278" s="442"/>
      <c r="G278" s="99" t="e">
        <f t="shared" si="28"/>
        <v>#REF!</v>
      </c>
      <c r="H278" s="12"/>
      <c r="I278" s="433"/>
      <c r="K278" s="320"/>
      <c r="L278" s="320"/>
      <c r="M278" s="320"/>
    </row>
    <row r="279" spans="1:13" ht="15" x14ac:dyDescent="0.25">
      <c r="A279" s="440"/>
      <c r="B279" s="95">
        <v>407</v>
      </c>
      <c r="C279" s="96" t="s">
        <v>96</v>
      </c>
      <c r="D279" s="317" t="e">
        <f>VLOOKUP(B279,#REF!,3,0)</f>
        <v>#REF!</v>
      </c>
      <c r="E279" s="442" t="e">
        <f>INDEX(#REF!,MATCH(B279,#REF!,0),MATCH(#REF!,#REF!,0))</f>
        <v>#REF!</v>
      </c>
      <c r="F279" s="442"/>
      <c r="G279" s="99" t="e">
        <f t="shared" si="28"/>
        <v>#REF!</v>
      </c>
      <c r="H279" s="12"/>
      <c r="I279" s="433"/>
      <c r="K279" s="320"/>
      <c r="L279" s="320"/>
      <c r="M279" s="320"/>
    </row>
    <row r="280" spans="1:13" ht="15" x14ac:dyDescent="0.25">
      <c r="A280" s="440"/>
      <c r="B280" s="95">
        <v>424</v>
      </c>
      <c r="C280" s="96" t="s">
        <v>97</v>
      </c>
      <c r="D280" s="317" t="e">
        <f>VLOOKUP(B280,#REF!,3,0)</f>
        <v>#REF!</v>
      </c>
      <c r="E280" s="442" t="e">
        <f>INDEX(#REF!,MATCH(B280,#REF!,0),MATCH(#REF!,#REF!,0))</f>
        <v>#REF!</v>
      </c>
      <c r="F280" s="442"/>
      <c r="G280" s="99" t="e">
        <f t="shared" si="28"/>
        <v>#REF!</v>
      </c>
      <c r="H280" s="12"/>
      <c r="I280" s="433"/>
      <c r="K280" s="320"/>
      <c r="L280" s="320"/>
      <c r="M280" s="320"/>
    </row>
    <row r="281" spans="1:13" ht="15" x14ac:dyDescent="0.25">
      <c r="A281" s="440"/>
      <c r="B281" s="95">
        <v>502</v>
      </c>
      <c r="C281" s="96" t="s">
        <v>98</v>
      </c>
      <c r="D281" s="317" t="e">
        <f>VLOOKUP(B281,#REF!,3,0)</f>
        <v>#REF!</v>
      </c>
      <c r="E281" s="442" t="e">
        <f>INDEX(#REF!,MATCH(B281,#REF!,0),MATCH(#REF!,#REF!,0))</f>
        <v>#REF!</v>
      </c>
      <c r="F281" s="442"/>
      <c r="G281" s="99" t="e">
        <f t="shared" si="28"/>
        <v>#REF!</v>
      </c>
      <c r="H281" s="26"/>
      <c r="I281" s="433"/>
      <c r="K281" s="320"/>
      <c r="L281" s="320"/>
      <c r="M281" s="320"/>
    </row>
    <row r="282" spans="1:13" ht="15" x14ac:dyDescent="0.25">
      <c r="A282" s="440"/>
      <c r="B282" s="95">
        <v>533</v>
      </c>
      <c r="C282" s="96" t="s">
        <v>99</v>
      </c>
      <c r="D282" s="317" t="e">
        <f>VLOOKUP(B282,#REF!,3,0)</f>
        <v>#REF!</v>
      </c>
      <c r="E282" s="442" t="e">
        <f>INDEX(#REF!,MATCH(B282,#REF!,0),MATCH(#REF!,#REF!,0))</f>
        <v>#REF!</v>
      </c>
      <c r="F282" s="442"/>
      <c r="G282" s="99" t="e">
        <f t="shared" si="28"/>
        <v>#REF!</v>
      </c>
      <c r="H282" s="12"/>
      <c r="I282" s="433"/>
      <c r="K282" s="320"/>
      <c r="L282" s="320"/>
      <c r="M282" s="320"/>
    </row>
    <row r="283" spans="1:13" ht="15" x14ac:dyDescent="0.25">
      <c r="A283" s="440"/>
      <c r="B283" s="95">
        <v>719</v>
      </c>
      <c r="C283" s="96" t="s">
        <v>102</v>
      </c>
      <c r="D283" s="317" t="e">
        <f>VLOOKUP(B283,#REF!,3,0)</f>
        <v>#REF!</v>
      </c>
      <c r="E283" s="442" t="e">
        <f>INDEX(#REF!,MATCH(B283,#REF!,0),MATCH(#REF!,#REF!,0))</f>
        <v>#REF!</v>
      </c>
      <c r="F283" s="442"/>
      <c r="G283" s="99" t="e">
        <f t="shared" si="28"/>
        <v>#REF!</v>
      </c>
      <c r="H283" s="12"/>
      <c r="I283" s="433"/>
      <c r="K283" s="320"/>
      <c r="L283" s="320"/>
      <c r="M283" s="320"/>
    </row>
    <row r="284" spans="1:13" ht="15.75" thickBot="1" x14ac:dyDescent="0.3">
      <c r="A284" s="441"/>
      <c r="B284" s="95">
        <v>731</v>
      </c>
      <c r="C284" s="96" t="s">
        <v>103</v>
      </c>
      <c r="D284" s="317" t="e">
        <f>VLOOKUP(B284,#REF!,3,0)</f>
        <v>#REF!</v>
      </c>
      <c r="E284" s="442" t="e">
        <f>INDEX(#REF!,MATCH(B284,#REF!,0),MATCH(#REF!,#REF!,0))</f>
        <v>#REF!</v>
      </c>
      <c r="F284" s="442"/>
      <c r="G284" s="99" t="e">
        <f t="shared" si="28"/>
        <v>#REF!</v>
      </c>
      <c r="H284" s="12"/>
      <c r="I284" s="433"/>
      <c r="K284" s="320"/>
      <c r="L284" s="320"/>
      <c r="M284" s="320"/>
    </row>
    <row r="285" spans="1:13" ht="16.5" thickTop="1" thickBot="1" x14ac:dyDescent="0.25">
      <c r="A285" s="13"/>
      <c r="B285" s="86"/>
      <c r="C285" s="98" t="s">
        <v>7</v>
      </c>
      <c r="D285" s="226" t="e">
        <f>SUM(D273:D283)</f>
        <v>#REF!</v>
      </c>
      <c r="E285" s="431" t="e">
        <f>SUM(E273:E284)</f>
        <v>#REF!</v>
      </c>
      <c r="F285" s="431"/>
      <c r="G285" s="100" t="e">
        <f>(D285-E285)/E285</f>
        <v>#REF!</v>
      </c>
      <c r="H285" s="12"/>
      <c r="I285" s="434"/>
      <c r="K285" s="320"/>
      <c r="L285" s="320"/>
      <c r="M285" s="320"/>
    </row>
    <row r="286" spans="1:13" ht="13.5" thickTop="1" x14ac:dyDescent="0.2"/>
    <row r="287" spans="1:13" ht="12.75" customHeight="1" x14ac:dyDescent="0.2">
      <c r="A287" s="106"/>
      <c r="B287" s="107"/>
      <c r="C287" s="106"/>
      <c r="D287" s="108"/>
      <c r="E287" s="108"/>
      <c r="F287" s="108"/>
      <c r="G287" s="83" t="s">
        <v>23</v>
      </c>
      <c r="H287" s="331" t="s">
        <v>4</v>
      </c>
      <c r="I287" s="432" t="s">
        <v>115</v>
      </c>
      <c r="K287" s="320"/>
      <c r="L287" s="320"/>
      <c r="M287" s="320"/>
    </row>
    <row r="288" spans="1:13" x14ac:dyDescent="0.2">
      <c r="A288" s="93" t="s">
        <v>118</v>
      </c>
      <c r="B288" s="92"/>
      <c r="C288" s="13"/>
      <c r="D288" s="12"/>
      <c r="E288" s="12"/>
      <c r="F288" s="12"/>
      <c r="G288" s="82">
        <f>DATE($L$2,$K$2+1,0)</f>
        <v>0</v>
      </c>
      <c r="H288" s="332">
        <f>$K$3</f>
        <v>0</v>
      </c>
      <c r="I288" s="433"/>
      <c r="K288" s="320"/>
      <c r="L288" s="320"/>
      <c r="M288" s="320"/>
    </row>
    <row r="289" spans="1:13" x14ac:dyDescent="0.2">
      <c r="A289" s="12"/>
      <c r="B289" s="12"/>
      <c r="C289" s="12"/>
      <c r="D289" s="17"/>
      <c r="E289" s="12"/>
      <c r="F289" s="12"/>
      <c r="G289" s="12"/>
      <c r="H289" s="12"/>
      <c r="I289" s="433"/>
      <c r="K289" s="320"/>
      <c r="L289" s="320"/>
      <c r="M289" s="320"/>
    </row>
    <row r="290" spans="1:13" x14ac:dyDescent="0.2">
      <c r="A290" s="12"/>
      <c r="B290" s="12"/>
      <c r="C290" s="88"/>
      <c r="D290" s="316" t="s">
        <v>8</v>
      </c>
      <c r="E290" s="89" t="s">
        <v>9</v>
      </c>
      <c r="F290" s="316" t="s">
        <v>10</v>
      </c>
      <c r="G290" s="90" t="s">
        <v>11</v>
      </c>
      <c r="H290" s="316" t="s">
        <v>12</v>
      </c>
      <c r="I290" s="433"/>
      <c r="K290" s="320"/>
      <c r="L290" s="320"/>
      <c r="M290" s="320"/>
    </row>
    <row r="291" spans="1:13" ht="15" x14ac:dyDescent="0.25">
      <c r="A291" s="436" t="s">
        <v>15</v>
      </c>
      <c r="B291" s="95">
        <v>12</v>
      </c>
      <c r="C291" s="96" t="s">
        <v>90</v>
      </c>
      <c r="D291" s="318" t="e">
        <f>VLOOKUP(B291,#REF!,7,0)</f>
        <v>#REF!</v>
      </c>
      <c r="E291" s="318" t="e">
        <f>F291*$K$3</f>
        <v>#REF!</v>
      </c>
      <c r="F291" s="318" t="e">
        <f>VLOOKUP(B291,#REF!,7,0)</f>
        <v>#REF!</v>
      </c>
      <c r="G291" s="97" t="e">
        <f>D291/E291</f>
        <v>#REF!</v>
      </c>
      <c r="H291" s="333" t="e">
        <f>D291/F291</f>
        <v>#REF!</v>
      </c>
      <c r="I291" s="433"/>
      <c r="K291" s="320"/>
      <c r="L291" s="320"/>
      <c r="M291" s="320"/>
    </row>
    <row r="292" spans="1:13" ht="15" x14ac:dyDescent="0.25">
      <c r="A292" s="437"/>
      <c r="B292" s="95">
        <v>93</v>
      </c>
      <c r="C292" s="96" t="s">
        <v>91</v>
      </c>
      <c r="D292" s="318" t="e">
        <f>VLOOKUP(B292,#REF!,7,0)</f>
        <v>#REF!</v>
      </c>
      <c r="E292" s="318" t="e">
        <f t="shared" ref="E292:E302" si="29">F292*$K$3</f>
        <v>#REF!</v>
      </c>
      <c r="F292" s="318" t="e">
        <f>VLOOKUP(B292,#REF!,7,0)</f>
        <v>#REF!</v>
      </c>
      <c r="G292" s="97" t="e">
        <f t="shared" ref="G292:G303" si="30">D292/E292</f>
        <v>#REF!</v>
      </c>
      <c r="H292" s="333" t="e">
        <f t="shared" ref="H292:H303" si="31">D292/F292</f>
        <v>#REF!</v>
      </c>
      <c r="I292" s="433"/>
      <c r="K292" s="320"/>
      <c r="L292" s="320"/>
      <c r="M292" s="320"/>
    </row>
    <row r="293" spans="1:13" ht="15" x14ac:dyDescent="0.25">
      <c r="A293" s="437"/>
      <c r="B293" s="95">
        <v>117</v>
      </c>
      <c r="C293" s="96" t="s">
        <v>92</v>
      </c>
      <c r="D293" s="318" t="e">
        <f>VLOOKUP(B293,#REF!,7,0)</f>
        <v>#REF!</v>
      </c>
      <c r="E293" s="318" t="e">
        <f t="shared" si="29"/>
        <v>#REF!</v>
      </c>
      <c r="F293" s="318" t="e">
        <f>VLOOKUP(B293,#REF!,7,0)</f>
        <v>#REF!</v>
      </c>
      <c r="G293" s="97" t="e">
        <f t="shared" si="30"/>
        <v>#REF!</v>
      </c>
      <c r="H293" s="333" t="e">
        <f t="shared" si="31"/>
        <v>#REF!</v>
      </c>
      <c r="I293" s="433"/>
      <c r="K293" s="320"/>
      <c r="L293" s="320"/>
      <c r="M293" s="320"/>
    </row>
    <row r="294" spans="1:13" ht="15" x14ac:dyDescent="0.25">
      <c r="A294" s="437"/>
      <c r="B294" s="95">
        <v>153</v>
      </c>
      <c r="C294" s="96" t="s">
        <v>93</v>
      </c>
      <c r="D294" s="318" t="e">
        <f>VLOOKUP(B294,#REF!,7,0)</f>
        <v>#REF!</v>
      </c>
      <c r="E294" s="318" t="e">
        <f t="shared" si="29"/>
        <v>#REF!</v>
      </c>
      <c r="F294" s="318" t="e">
        <f>VLOOKUP(B294,#REF!,7,0)</f>
        <v>#REF!</v>
      </c>
      <c r="G294" s="97" t="e">
        <f t="shared" si="30"/>
        <v>#REF!</v>
      </c>
      <c r="H294" s="333" t="e">
        <f t="shared" si="31"/>
        <v>#REF!</v>
      </c>
      <c r="I294" s="433"/>
      <c r="K294" s="320"/>
      <c r="L294" s="320"/>
      <c r="M294" s="320"/>
    </row>
    <row r="295" spans="1:13" ht="15" x14ac:dyDescent="0.25">
      <c r="A295" s="437"/>
      <c r="B295" s="95">
        <v>182</v>
      </c>
      <c r="C295" s="96" t="s">
        <v>94</v>
      </c>
      <c r="D295" s="318" t="e">
        <f>VLOOKUP(B295,#REF!,7,0)</f>
        <v>#REF!</v>
      </c>
      <c r="E295" s="318" t="e">
        <f t="shared" si="29"/>
        <v>#REF!</v>
      </c>
      <c r="F295" s="318" t="e">
        <f>VLOOKUP(B295,#REF!,7,0)</f>
        <v>#REF!</v>
      </c>
      <c r="G295" s="97" t="e">
        <f t="shared" si="30"/>
        <v>#REF!</v>
      </c>
      <c r="H295" s="333" t="e">
        <f t="shared" si="31"/>
        <v>#REF!</v>
      </c>
      <c r="I295" s="433"/>
      <c r="K295" s="320"/>
      <c r="L295" s="320"/>
      <c r="M295" s="320"/>
    </row>
    <row r="296" spans="1:13" ht="15" x14ac:dyDescent="0.25">
      <c r="A296" s="437"/>
      <c r="B296" s="95">
        <v>271</v>
      </c>
      <c r="C296" s="96" t="s">
        <v>95</v>
      </c>
      <c r="D296" s="318" t="e">
        <f>VLOOKUP(B296,#REF!,7,0)</f>
        <v>#REF!</v>
      </c>
      <c r="E296" s="318" t="e">
        <f t="shared" si="29"/>
        <v>#REF!</v>
      </c>
      <c r="F296" s="318" t="e">
        <f>VLOOKUP(B296,#REF!,7,0)</f>
        <v>#REF!</v>
      </c>
      <c r="G296" s="97" t="e">
        <f t="shared" si="30"/>
        <v>#REF!</v>
      </c>
      <c r="H296" s="333" t="e">
        <f t="shared" si="31"/>
        <v>#REF!</v>
      </c>
      <c r="I296" s="433"/>
      <c r="K296" s="320"/>
      <c r="L296" s="320"/>
      <c r="M296" s="320"/>
    </row>
    <row r="297" spans="1:13" ht="15" x14ac:dyDescent="0.25">
      <c r="A297" s="437"/>
      <c r="B297" s="95">
        <v>407</v>
      </c>
      <c r="C297" s="96" t="s">
        <v>96</v>
      </c>
      <c r="D297" s="318" t="e">
        <f>VLOOKUP(B297,#REF!,7,0)</f>
        <v>#REF!</v>
      </c>
      <c r="E297" s="318" t="e">
        <f t="shared" si="29"/>
        <v>#REF!</v>
      </c>
      <c r="F297" s="318" t="e">
        <f>VLOOKUP(B297,#REF!,7,0)</f>
        <v>#REF!</v>
      </c>
      <c r="G297" s="97" t="e">
        <f t="shared" si="30"/>
        <v>#REF!</v>
      </c>
      <c r="H297" s="333" t="e">
        <f t="shared" si="31"/>
        <v>#REF!</v>
      </c>
      <c r="I297" s="433"/>
      <c r="K297" s="320"/>
      <c r="L297" s="320"/>
      <c r="M297" s="320"/>
    </row>
    <row r="298" spans="1:13" ht="15" x14ac:dyDescent="0.25">
      <c r="A298" s="437"/>
      <c r="B298" s="95">
        <v>424</v>
      </c>
      <c r="C298" s="96" t="s">
        <v>97</v>
      </c>
      <c r="D298" s="318" t="e">
        <f>VLOOKUP(B298,#REF!,7,0)</f>
        <v>#REF!</v>
      </c>
      <c r="E298" s="318" t="e">
        <f t="shared" si="29"/>
        <v>#REF!</v>
      </c>
      <c r="F298" s="318" t="e">
        <f>VLOOKUP(B298,#REF!,7,0)</f>
        <v>#REF!</v>
      </c>
      <c r="G298" s="97" t="e">
        <f t="shared" si="30"/>
        <v>#REF!</v>
      </c>
      <c r="H298" s="333" t="e">
        <f t="shared" si="31"/>
        <v>#REF!</v>
      </c>
      <c r="I298" s="433"/>
      <c r="K298" s="320"/>
      <c r="L298" s="320"/>
      <c r="M298" s="320"/>
    </row>
    <row r="299" spans="1:13" ht="15" x14ac:dyDescent="0.25">
      <c r="A299" s="437"/>
      <c r="B299" s="95">
        <v>502</v>
      </c>
      <c r="C299" s="96" t="s">
        <v>98</v>
      </c>
      <c r="D299" s="318" t="e">
        <f>VLOOKUP(B299,#REF!,7,0)</f>
        <v>#REF!</v>
      </c>
      <c r="E299" s="318" t="e">
        <f t="shared" si="29"/>
        <v>#REF!</v>
      </c>
      <c r="F299" s="318" t="e">
        <f>VLOOKUP(B299,#REF!,7,0)</f>
        <v>#REF!</v>
      </c>
      <c r="G299" s="97" t="e">
        <f t="shared" si="30"/>
        <v>#REF!</v>
      </c>
      <c r="H299" s="333" t="e">
        <f t="shared" si="31"/>
        <v>#REF!</v>
      </c>
      <c r="I299" s="433"/>
      <c r="K299" s="320"/>
      <c r="L299" s="320"/>
      <c r="M299" s="320"/>
    </row>
    <row r="300" spans="1:13" ht="15" x14ac:dyDescent="0.25">
      <c r="A300" s="437"/>
      <c r="B300" s="95">
        <v>533</v>
      </c>
      <c r="C300" s="96" t="s">
        <v>99</v>
      </c>
      <c r="D300" s="318" t="e">
        <f>VLOOKUP(B300,#REF!,7,0)</f>
        <v>#REF!</v>
      </c>
      <c r="E300" s="318" t="e">
        <f t="shared" si="29"/>
        <v>#REF!</v>
      </c>
      <c r="F300" s="318" t="e">
        <f>VLOOKUP(B300,#REF!,7,0)</f>
        <v>#REF!</v>
      </c>
      <c r="G300" s="97" t="e">
        <f t="shared" si="30"/>
        <v>#REF!</v>
      </c>
      <c r="H300" s="333" t="e">
        <f t="shared" si="31"/>
        <v>#REF!</v>
      </c>
      <c r="I300" s="433"/>
      <c r="K300" s="320"/>
      <c r="L300" s="320"/>
      <c r="M300" s="320"/>
    </row>
    <row r="301" spans="1:13" ht="15" x14ac:dyDescent="0.25">
      <c r="A301" s="437"/>
      <c r="B301" s="95">
        <v>719</v>
      </c>
      <c r="C301" s="96" t="s">
        <v>102</v>
      </c>
      <c r="D301" s="318" t="e">
        <f>VLOOKUP(B301,#REF!,7,0)</f>
        <v>#REF!</v>
      </c>
      <c r="E301" s="318" t="e">
        <f t="shared" si="29"/>
        <v>#REF!</v>
      </c>
      <c r="F301" s="318" t="e">
        <f>VLOOKUP(B301,#REF!,7,0)</f>
        <v>#REF!</v>
      </c>
      <c r="G301" s="97" t="e">
        <f t="shared" si="30"/>
        <v>#REF!</v>
      </c>
      <c r="H301" s="333" t="e">
        <f t="shared" si="31"/>
        <v>#REF!</v>
      </c>
      <c r="I301" s="433"/>
      <c r="K301" s="320"/>
      <c r="L301" s="320"/>
      <c r="M301" s="320"/>
    </row>
    <row r="302" spans="1:13" ht="15.75" thickBot="1" x14ac:dyDescent="0.3">
      <c r="A302" s="438"/>
      <c r="B302" s="95">
        <v>731</v>
      </c>
      <c r="C302" s="96" t="s">
        <v>103</v>
      </c>
      <c r="D302" s="318" t="e">
        <f>VLOOKUP(B302,#REF!,7,0)</f>
        <v>#REF!</v>
      </c>
      <c r="E302" s="318" t="e">
        <f t="shared" si="29"/>
        <v>#REF!</v>
      </c>
      <c r="F302" s="318" t="e">
        <f>VLOOKUP(B302,#REF!,7,0)</f>
        <v>#REF!</v>
      </c>
      <c r="G302" s="97" t="e">
        <f t="shared" si="30"/>
        <v>#REF!</v>
      </c>
      <c r="H302" s="333" t="e">
        <f t="shared" si="31"/>
        <v>#REF!</v>
      </c>
      <c r="I302" s="433"/>
      <c r="K302" s="320"/>
      <c r="L302" s="320"/>
      <c r="M302" s="320"/>
    </row>
    <row r="303" spans="1:13" ht="16.5" thickTop="1" thickBot="1" x14ac:dyDescent="0.25">
      <c r="A303" s="12"/>
      <c r="B303" s="60"/>
      <c r="C303" s="98" t="s">
        <v>7</v>
      </c>
      <c r="D303" s="319" t="e">
        <f>SUM(D291:D302)</f>
        <v>#REF!</v>
      </c>
      <c r="E303" s="319" t="e">
        <f>SUM(E291:E302)</f>
        <v>#REF!</v>
      </c>
      <c r="F303" s="319" t="e">
        <f>SUM(F291:F302)</f>
        <v>#REF!</v>
      </c>
      <c r="G303" s="94" t="e">
        <f t="shared" si="30"/>
        <v>#REF!</v>
      </c>
      <c r="H303" s="334" t="e">
        <f t="shared" si="31"/>
        <v>#REF!</v>
      </c>
      <c r="I303" s="433"/>
      <c r="K303" s="320"/>
      <c r="L303" s="320"/>
      <c r="M303" s="320"/>
    </row>
    <row r="304" spans="1:13" ht="13.5" thickTop="1" x14ac:dyDescent="0.2">
      <c r="A304" s="12"/>
      <c r="B304" s="60"/>
      <c r="C304" s="12"/>
      <c r="D304" s="12"/>
      <c r="E304" s="12"/>
      <c r="F304" s="12"/>
      <c r="G304" s="12"/>
      <c r="H304" s="12"/>
      <c r="I304" s="433"/>
      <c r="K304" s="320"/>
      <c r="L304" s="320"/>
      <c r="M304" s="320"/>
    </row>
    <row r="305" spans="1:13" x14ac:dyDescent="0.2">
      <c r="A305" s="12"/>
      <c r="B305" s="60"/>
      <c r="C305" s="12"/>
      <c r="D305" s="316" t="s">
        <v>8</v>
      </c>
      <c r="E305" s="368" t="s">
        <v>13</v>
      </c>
      <c r="F305" s="369"/>
      <c r="G305" s="89" t="s">
        <v>14</v>
      </c>
      <c r="H305" s="91"/>
      <c r="I305" s="433"/>
      <c r="K305" s="320"/>
      <c r="L305" s="320"/>
      <c r="M305" s="320"/>
    </row>
    <row r="306" spans="1:13" ht="15" x14ac:dyDescent="0.25">
      <c r="A306" s="439" t="s">
        <v>16</v>
      </c>
      <c r="B306" s="95">
        <v>12</v>
      </c>
      <c r="C306" s="96" t="s">
        <v>90</v>
      </c>
      <c r="D306" s="317" t="e">
        <f>VLOOKUP(B306,#REF!,3,0)</f>
        <v>#REF!</v>
      </c>
      <c r="E306" s="442" t="e">
        <f>INDEX(#REF!,MATCH(B306,#REF!,0),MATCH(#REF!,#REF!,0))</f>
        <v>#REF!</v>
      </c>
      <c r="F306" s="442"/>
      <c r="G306" s="99" t="e">
        <f>(D306-E306)/E306</f>
        <v>#REF!</v>
      </c>
      <c r="H306" s="12"/>
      <c r="I306" s="433"/>
      <c r="K306" s="320"/>
      <c r="L306" s="320"/>
      <c r="M306" s="320"/>
    </row>
    <row r="307" spans="1:13" ht="15" x14ac:dyDescent="0.25">
      <c r="A307" s="440"/>
      <c r="B307" s="95">
        <v>93</v>
      </c>
      <c r="C307" s="96" t="s">
        <v>91</v>
      </c>
      <c r="D307" s="317" t="e">
        <f>VLOOKUP(B307,#REF!,3,0)</f>
        <v>#REF!</v>
      </c>
      <c r="E307" s="442" t="e">
        <f>INDEX(#REF!,MATCH(B307,#REF!,0),MATCH(#REF!,#REF!,0))</f>
        <v>#REF!</v>
      </c>
      <c r="F307" s="442"/>
      <c r="G307" s="99" t="e">
        <f t="shared" ref="G307:G317" si="32">(D307-E307)/E307</f>
        <v>#REF!</v>
      </c>
      <c r="H307" s="12"/>
      <c r="I307" s="433"/>
      <c r="K307" s="320"/>
      <c r="L307" s="320"/>
      <c r="M307" s="320"/>
    </row>
    <row r="308" spans="1:13" ht="15" x14ac:dyDescent="0.25">
      <c r="A308" s="440"/>
      <c r="B308" s="95">
        <v>117</v>
      </c>
      <c r="C308" s="96" t="s">
        <v>92</v>
      </c>
      <c r="D308" s="317" t="e">
        <f>VLOOKUP(B308,#REF!,3,0)</f>
        <v>#REF!</v>
      </c>
      <c r="E308" s="442" t="e">
        <f>INDEX(#REF!,MATCH(B308,#REF!,0),MATCH(#REF!,#REF!,0))</f>
        <v>#REF!</v>
      </c>
      <c r="F308" s="442"/>
      <c r="G308" s="99" t="e">
        <f t="shared" si="32"/>
        <v>#REF!</v>
      </c>
      <c r="H308" s="12"/>
      <c r="I308" s="433"/>
      <c r="K308" s="320"/>
      <c r="L308" s="320"/>
      <c r="M308" s="320"/>
    </row>
    <row r="309" spans="1:13" ht="15" x14ac:dyDescent="0.25">
      <c r="A309" s="440"/>
      <c r="B309" s="95">
        <v>153</v>
      </c>
      <c r="C309" s="96" t="s">
        <v>93</v>
      </c>
      <c r="D309" s="317" t="e">
        <f>VLOOKUP(B309,#REF!,3,0)</f>
        <v>#REF!</v>
      </c>
      <c r="E309" s="442" t="e">
        <f>INDEX(#REF!,MATCH(B309,#REF!,0),MATCH(#REF!,#REF!,0))</f>
        <v>#REF!</v>
      </c>
      <c r="F309" s="442"/>
      <c r="G309" s="99" t="e">
        <f t="shared" si="32"/>
        <v>#REF!</v>
      </c>
      <c r="H309" s="12"/>
      <c r="I309" s="433"/>
      <c r="K309" s="320"/>
      <c r="L309" s="320"/>
      <c r="M309" s="320"/>
    </row>
    <row r="310" spans="1:13" ht="15" x14ac:dyDescent="0.25">
      <c r="A310" s="440"/>
      <c r="B310" s="95">
        <v>182</v>
      </c>
      <c r="C310" s="96" t="s">
        <v>94</v>
      </c>
      <c r="D310" s="317" t="e">
        <f>VLOOKUP(B310,#REF!,3,0)</f>
        <v>#REF!</v>
      </c>
      <c r="E310" s="442" t="e">
        <f>INDEX(#REF!,MATCH(B310,#REF!,0),MATCH(#REF!,#REF!,0))</f>
        <v>#REF!</v>
      </c>
      <c r="F310" s="442"/>
      <c r="G310" s="99" t="e">
        <f t="shared" si="32"/>
        <v>#REF!</v>
      </c>
      <c r="H310" s="12"/>
      <c r="I310" s="433"/>
      <c r="K310" s="320"/>
      <c r="L310" s="320"/>
      <c r="M310" s="320"/>
    </row>
    <row r="311" spans="1:13" ht="15" x14ac:dyDescent="0.25">
      <c r="A311" s="440"/>
      <c r="B311" s="95">
        <v>271</v>
      </c>
      <c r="C311" s="96" t="s">
        <v>95</v>
      </c>
      <c r="D311" s="317" t="e">
        <f>VLOOKUP(B311,#REF!,3,0)</f>
        <v>#REF!</v>
      </c>
      <c r="E311" s="442" t="e">
        <f>INDEX(#REF!,MATCH(B311,#REF!,0),MATCH(#REF!,#REF!,0))</f>
        <v>#REF!</v>
      </c>
      <c r="F311" s="442"/>
      <c r="G311" s="99" t="e">
        <f t="shared" si="32"/>
        <v>#REF!</v>
      </c>
      <c r="H311" s="12"/>
      <c r="I311" s="433"/>
      <c r="K311" s="320"/>
      <c r="L311" s="320"/>
      <c r="M311" s="320"/>
    </row>
    <row r="312" spans="1:13" ht="15" x14ac:dyDescent="0.25">
      <c r="A312" s="440"/>
      <c r="B312" s="95">
        <v>407</v>
      </c>
      <c r="C312" s="96" t="s">
        <v>96</v>
      </c>
      <c r="D312" s="317" t="e">
        <f>VLOOKUP(B312,#REF!,3,0)</f>
        <v>#REF!</v>
      </c>
      <c r="E312" s="442" t="e">
        <f>INDEX(#REF!,MATCH(B312,#REF!,0),MATCH(#REF!,#REF!,0))</f>
        <v>#REF!</v>
      </c>
      <c r="F312" s="442"/>
      <c r="G312" s="99" t="e">
        <f t="shared" si="32"/>
        <v>#REF!</v>
      </c>
      <c r="H312" s="12"/>
      <c r="I312" s="433"/>
      <c r="K312" s="320"/>
      <c r="L312" s="320"/>
      <c r="M312" s="320"/>
    </row>
    <row r="313" spans="1:13" ht="15" x14ac:dyDescent="0.25">
      <c r="A313" s="440"/>
      <c r="B313" s="95">
        <v>424</v>
      </c>
      <c r="C313" s="96" t="s">
        <v>97</v>
      </c>
      <c r="D313" s="317" t="e">
        <f>VLOOKUP(B313,#REF!,3,0)</f>
        <v>#REF!</v>
      </c>
      <c r="E313" s="442" t="e">
        <f>INDEX(#REF!,MATCH(B313,#REF!,0),MATCH(#REF!,#REF!,0))</f>
        <v>#REF!</v>
      </c>
      <c r="F313" s="442"/>
      <c r="G313" s="99" t="e">
        <f t="shared" si="32"/>
        <v>#REF!</v>
      </c>
      <c r="H313" s="12"/>
      <c r="I313" s="433"/>
      <c r="K313" s="320"/>
      <c r="L313" s="320"/>
      <c r="M313" s="320"/>
    </row>
    <row r="314" spans="1:13" ht="15" x14ac:dyDescent="0.25">
      <c r="A314" s="440"/>
      <c r="B314" s="95">
        <v>502</v>
      </c>
      <c r="C314" s="96" t="s">
        <v>98</v>
      </c>
      <c r="D314" s="317" t="e">
        <f>VLOOKUP(B314,#REF!,3,0)</f>
        <v>#REF!</v>
      </c>
      <c r="E314" s="442" t="e">
        <f>INDEX(#REF!,MATCH(B314,#REF!,0),MATCH(#REF!,#REF!,0))</f>
        <v>#REF!</v>
      </c>
      <c r="F314" s="442"/>
      <c r="G314" s="99" t="e">
        <f t="shared" si="32"/>
        <v>#REF!</v>
      </c>
      <c r="H314" s="26"/>
      <c r="I314" s="433"/>
      <c r="K314" s="320"/>
      <c r="L314" s="320"/>
      <c r="M314" s="320"/>
    </row>
    <row r="315" spans="1:13" ht="15" x14ac:dyDescent="0.25">
      <c r="A315" s="440"/>
      <c r="B315" s="95">
        <v>533</v>
      </c>
      <c r="C315" s="96" t="s">
        <v>99</v>
      </c>
      <c r="D315" s="317" t="e">
        <f>VLOOKUP(B315,#REF!,3,0)</f>
        <v>#REF!</v>
      </c>
      <c r="E315" s="442" t="e">
        <f>INDEX(#REF!,MATCH(B315,#REF!,0),MATCH(#REF!,#REF!,0))</f>
        <v>#REF!</v>
      </c>
      <c r="F315" s="442"/>
      <c r="G315" s="99" t="e">
        <f t="shared" si="32"/>
        <v>#REF!</v>
      </c>
      <c r="H315" s="12"/>
      <c r="I315" s="433"/>
      <c r="K315" s="320"/>
      <c r="L315" s="320"/>
      <c r="M315" s="320"/>
    </row>
    <row r="316" spans="1:13" ht="15" x14ac:dyDescent="0.25">
      <c r="A316" s="440"/>
      <c r="B316" s="95">
        <v>719</v>
      </c>
      <c r="C316" s="96" t="s">
        <v>102</v>
      </c>
      <c r="D316" s="317" t="e">
        <f>VLOOKUP(B316,#REF!,3,0)</f>
        <v>#REF!</v>
      </c>
      <c r="E316" s="442" t="e">
        <f>INDEX(#REF!,MATCH(B316,#REF!,0),MATCH(#REF!,#REF!,0))</f>
        <v>#REF!</v>
      </c>
      <c r="F316" s="442"/>
      <c r="G316" s="99" t="e">
        <f t="shared" si="32"/>
        <v>#REF!</v>
      </c>
      <c r="H316" s="12"/>
      <c r="I316" s="433"/>
      <c r="K316" s="320"/>
      <c r="L316" s="320"/>
      <c r="M316" s="320"/>
    </row>
    <row r="317" spans="1:13" ht="15.75" thickBot="1" x14ac:dyDescent="0.3">
      <c r="A317" s="441"/>
      <c r="B317" s="95">
        <v>731</v>
      </c>
      <c r="C317" s="96" t="s">
        <v>103</v>
      </c>
      <c r="D317" s="317" t="e">
        <f>VLOOKUP(B317,#REF!,3,0)</f>
        <v>#REF!</v>
      </c>
      <c r="E317" s="442" t="e">
        <f>INDEX(#REF!,MATCH(B317,#REF!,0),MATCH(#REF!,#REF!,0))</f>
        <v>#REF!</v>
      </c>
      <c r="F317" s="442"/>
      <c r="G317" s="99" t="e">
        <f t="shared" si="32"/>
        <v>#REF!</v>
      </c>
      <c r="H317" s="12"/>
      <c r="I317" s="433"/>
      <c r="K317" s="320"/>
      <c r="L317" s="320"/>
      <c r="M317" s="320"/>
    </row>
    <row r="318" spans="1:13" ht="16.5" thickTop="1" thickBot="1" x14ac:dyDescent="0.25">
      <c r="A318" s="13"/>
      <c r="B318" s="86"/>
      <c r="C318" s="98" t="s">
        <v>7</v>
      </c>
      <c r="D318" s="226" t="e">
        <f>SUM(D306:D316)</f>
        <v>#REF!</v>
      </c>
      <c r="E318" s="431" t="e">
        <f>SUM(E306:E317)</f>
        <v>#REF!</v>
      </c>
      <c r="F318" s="431"/>
      <c r="G318" s="100" t="e">
        <f>(D318-E318)/E318</f>
        <v>#REF!</v>
      </c>
      <c r="H318" s="12"/>
      <c r="I318" s="434"/>
      <c r="K318" s="320"/>
      <c r="L318" s="320"/>
      <c r="M318" s="320"/>
    </row>
    <row r="319" spans="1:13" ht="13.5" thickTop="1" x14ac:dyDescent="0.2"/>
    <row r="320" spans="1:13" ht="12.75" customHeight="1" x14ac:dyDescent="0.2">
      <c r="A320" s="106"/>
      <c r="B320" s="107"/>
      <c r="C320" s="106"/>
      <c r="D320" s="108"/>
      <c r="E320" s="108"/>
      <c r="F320" s="108"/>
      <c r="G320" s="83" t="s">
        <v>23</v>
      </c>
      <c r="H320" s="331" t="s">
        <v>4</v>
      </c>
      <c r="I320" s="432" t="s">
        <v>116</v>
      </c>
      <c r="K320" s="320"/>
      <c r="L320" s="320"/>
      <c r="M320" s="320"/>
    </row>
    <row r="321" spans="1:13" x14ac:dyDescent="0.2">
      <c r="A321" s="93" t="s">
        <v>117</v>
      </c>
      <c r="B321" s="92"/>
      <c r="C321" s="13"/>
      <c r="D321" s="12"/>
      <c r="E321" s="12"/>
      <c r="F321" s="12"/>
      <c r="G321" s="82">
        <f>DATE($L$2,$K$2+1,0)</f>
        <v>0</v>
      </c>
      <c r="H321" s="332">
        <f>$K$3</f>
        <v>0</v>
      </c>
      <c r="I321" s="433"/>
      <c r="K321" s="320"/>
      <c r="L321" s="320"/>
      <c r="M321" s="320"/>
    </row>
    <row r="322" spans="1:13" x14ac:dyDescent="0.2">
      <c r="A322" s="12"/>
      <c r="B322" s="12"/>
      <c r="C322" s="12"/>
      <c r="D322" s="17"/>
      <c r="E322" s="12"/>
      <c r="F322" s="12"/>
      <c r="G322" s="12"/>
      <c r="H322" s="12"/>
      <c r="I322" s="433"/>
      <c r="K322" s="320"/>
      <c r="L322" s="320"/>
      <c r="M322" s="320"/>
    </row>
    <row r="323" spans="1:13" x14ac:dyDescent="0.2">
      <c r="A323" s="12"/>
      <c r="B323" s="12"/>
      <c r="C323" s="88"/>
      <c r="D323" s="316" t="s">
        <v>8</v>
      </c>
      <c r="E323" s="89" t="s">
        <v>9</v>
      </c>
      <c r="F323" s="316" t="s">
        <v>10</v>
      </c>
      <c r="G323" s="90" t="s">
        <v>11</v>
      </c>
      <c r="H323" s="316" t="s">
        <v>12</v>
      </c>
      <c r="I323" s="433"/>
      <c r="K323" s="320"/>
      <c r="L323" s="320"/>
      <c r="M323" s="320"/>
    </row>
    <row r="324" spans="1:13" ht="15" x14ac:dyDescent="0.25">
      <c r="A324" s="436" t="s">
        <v>15</v>
      </c>
      <c r="B324" s="95">
        <v>12</v>
      </c>
      <c r="C324" s="96" t="s">
        <v>90</v>
      </c>
      <c r="D324" s="318" t="e">
        <f>VLOOKUP(B324,#REF!,7,0)</f>
        <v>#REF!</v>
      </c>
      <c r="E324" s="318" t="e">
        <f>F324*$K$3</f>
        <v>#REF!</v>
      </c>
      <c r="F324" s="318" t="e">
        <f>VLOOKUP(B324,#REF!,7,0)</f>
        <v>#REF!</v>
      </c>
      <c r="G324" s="97" t="e">
        <f>D324/E324</f>
        <v>#REF!</v>
      </c>
      <c r="H324" s="333" t="e">
        <f>D324/F324</f>
        <v>#REF!</v>
      </c>
      <c r="I324" s="433"/>
      <c r="K324" s="320"/>
      <c r="L324" s="320"/>
      <c r="M324" s="320"/>
    </row>
    <row r="325" spans="1:13" ht="15" x14ac:dyDescent="0.25">
      <c r="A325" s="437"/>
      <c r="B325" s="95">
        <v>93</v>
      </c>
      <c r="C325" s="96" t="s">
        <v>91</v>
      </c>
      <c r="D325" s="318" t="e">
        <f>VLOOKUP(B325,#REF!,7,0)</f>
        <v>#REF!</v>
      </c>
      <c r="E325" s="318" t="e">
        <f t="shared" ref="E325:E335" si="33">F325*$K$3</f>
        <v>#REF!</v>
      </c>
      <c r="F325" s="318" t="e">
        <f>VLOOKUP(B325,#REF!,7,0)</f>
        <v>#REF!</v>
      </c>
      <c r="G325" s="97" t="e">
        <f t="shared" ref="G325:G336" si="34">D325/E325</f>
        <v>#REF!</v>
      </c>
      <c r="H325" s="333" t="e">
        <f t="shared" ref="H325:H336" si="35">D325/F325</f>
        <v>#REF!</v>
      </c>
      <c r="I325" s="433"/>
      <c r="K325" s="320"/>
      <c r="L325" s="320"/>
      <c r="M325" s="320"/>
    </row>
    <row r="326" spans="1:13" ht="15" x14ac:dyDescent="0.25">
      <c r="A326" s="437"/>
      <c r="B326" s="95">
        <v>117</v>
      </c>
      <c r="C326" s="96" t="s">
        <v>92</v>
      </c>
      <c r="D326" s="318" t="e">
        <f>VLOOKUP(B326,#REF!,7,0)</f>
        <v>#REF!</v>
      </c>
      <c r="E326" s="318" t="e">
        <f t="shared" si="33"/>
        <v>#REF!</v>
      </c>
      <c r="F326" s="318" t="e">
        <f>VLOOKUP(B326,#REF!,7,0)</f>
        <v>#REF!</v>
      </c>
      <c r="G326" s="97" t="e">
        <f t="shared" si="34"/>
        <v>#REF!</v>
      </c>
      <c r="H326" s="333" t="e">
        <f t="shared" si="35"/>
        <v>#REF!</v>
      </c>
      <c r="I326" s="433"/>
      <c r="K326" s="320"/>
      <c r="L326" s="320"/>
      <c r="M326" s="320"/>
    </row>
    <row r="327" spans="1:13" ht="15" x14ac:dyDescent="0.25">
      <c r="A327" s="437"/>
      <c r="B327" s="95">
        <v>153</v>
      </c>
      <c r="C327" s="96" t="s">
        <v>93</v>
      </c>
      <c r="D327" s="318" t="e">
        <f>VLOOKUP(B327,#REF!,7,0)</f>
        <v>#REF!</v>
      </c>
      <c r="E327" s="318" t="e">
        <f t="shared" si="33"/>
        <v>#REF!</v>
      </c>
      <c r="F327" s="318" t="e">
        <f>VLOOKUP(B327,#REF!,7,0)</f>
        <v>#REF!</v>
      </c>
      <c r="G327" s="97" t="e">
        <f t="shared" si="34"/>
        <v>#REF!</v>
      </c>
      <c r="H327" s="333" t="e">
        <f t="shared" si="35"/>
        <v>#REF!</v>
      </c>
      <c r="I327" s="433"/>
      <c r="K327" s="320"/>
      <c r="L327" s="320"/>
      <c r="M327" s="320"/>
    </row>
    <row r="328" spans="1:13" ht="15" x14ac:dyDescent="0.25">
      <c r="A328" s="437"/>
      <c r="B328" s="95">
        <v>182</v>
      </c>
      <c r="C328" s="96" t="s">
        <v>94</v>
      </c>
      <c r="D328" s="318" t="e">
        <f>VLOOKUP(B328,#REF!,7,0)</f>
        <v>#REF!</v>
      </c>
      <c r="E328" s="318" t="e">
        <f t="shared" si="33"/>
        <v>#REF!</v>
      </c>
      <c r="F328" s="318" t="e">
        <f>VLOOKUP(B328,#REF!,7,0)</f>
        <v>#REF!</v>
      </c>
      <c r="G328" s="97" t="e">
        <f t="shared" si="34"/>
        <v>#REF!</v>
      </c>
      <c r="H328" s="333" t="e">
        <f t="shared" si="35"/>
        <v>#REF!</v>
      </c>
      <c r="I328" s="433"/>
      <c r="K328" s="320"/>
      <c r="L328" s="320"/>
      <c r="M328" s="320"/>
    </row>
    <row r="329" spans="1:13" ht="15" x14ac:dyDescent="0.25">
      <c r="A329" s="437"/>
      <c r="B329" s="95">
        <v>271</v>
      </c>
      <c r="C329" s="96" t="s">
        <v>95</v>
      </c>
      <c r="D329" s="318" t="e">
        <f>VLOOKUP(B329,#REF!,7,0)</f>
        <v>#REF!</v>
      </c>
      <c r="E329" s="318" t="e">
        <f t="shared" si="33"/>
        <v>#REF!</v>
      </c>
      <c r="F329" s="318" t="e">
        <f>VLOOKUP(B329,#REF!,7,0)</f>
        <v>#REF!</v>
      </c>
      <c r="G329" s="97" t="e">
        <f t="shared" si="34"/>
        <v>#REF!</v>
      </c>
      <c r="H329" s="333" t="e">
        <f t="shared" si="35"/>
        <v>#REF!</v>
      </c>
      <c r="I329" s="433"/>
      <c r="K329" s="320"/>
      <c r="L329" s="320"/>
      <c r="M329" s="320"/>
    </row>
    <row r="330" spans="1:13" ht="15" x14ac:dyDescent="0.25">
      <c r="A330" s="437"/>
      <c r="B330" s="95">
        <v>407</v>
      </c>
      <c r="C330" s="96" t="s">
        <v>96</v>
      </c>
      <c r="D330" s="318" t="e">
        <f>VLOOKUP(B330,#REF!,7,0)</f>
        <v>#REF!</v>
      </c>
      <c r="E330" s="318" t="e">
        <f t="shared" si="33"/>
        <v>#REF!</v>
      </c>
      <c r="F330" s="318" t="e">
        <f>VLOOKUP(B330,#REF!,7,0)</f>
        <v>#REF!</v>
      </c>
      <c r="G330" s="97" t="e">
        <f t="shared" si="34"/>
        <v>#REF!</v>
      </c>
      <c r="H330" s="333" t="e">
        <f t="shared" si="35"/>
        <v>#REF!</v>
      </c>
      <c r="I330" s="433"/>
      <c r="K330" s="320"/>
      <c r="L330" s="320"/>
      <c r="M330" s="320"/>
    </row>
    <row r="331" spans="1:13" ht="15" x14ac:dyDescent="0.25">
      <c r="A331" s="437"/>
      <c r="B331" s="95">
        <v>424</v>
      </c>
      <c r="C331" s="96" t="s">
        <v>97</v>
      </c>
      <c r="D331" s="318" t="e">
        <f>VLOOKUP(B331,#REF!,7,0)</f>
        <v>#REF!</v>
      </c>
      <c r="E331" s="318" t="e">
        <f t="shared" si="33"/>
        <v>#REF!</v>
      </c>
      <c r="F331" s="318" t="e">
        <f>VLOOKUP(B331,#REF!,7,0)</f>
        <v>#REF!</v>
      </c>
      <c r="G331" s="97" t="e">
        <f t="shared" si="34"/>
        <v>#REF!</v>
      </c>
      <c r="H331" s="333" t="e">
        <f t="shared" si="35"/>
        <v>#REF!</v>
      </c>
      <c r="I331" s="433"/>
      <c r="K331" s="320"/>
      <c r="L331" s="320"/>
      <c r="M331" s="320"/>
    </row>
    <row r="332" spans="1:13" ht="15" x14ac:dyDescent="0.25">
      <c r="A332" s="437"/>
      <c r="B332" s="95">
        <v>502</v>
      </c>
      <c r="C332" s="96" t="s">
        <v>98</v>
      </c>
      <c r="D332" s="318" t="e">
        <f>VLOOKUP(B332,#REF!,7,0)</f>
        <v>#REF!</v>
      </c>
      <c r="E332" s="318" t="e">
        <f t="shared" si="33"/>
        <v>#REF!</v>
      </c>
      <c r="F332" s="318" t="e">
        <f>VLOOKUP(B332,#REF!,7,0)</f>
        <v>#REF!</v>
      </c>
      <c r="G332" s="97" t="e">
        <f t="shared" si="34"/>
        <v>#REF!</v>
      </c>
      <c r="H332" s="333" t="e">
        <f t="shared" si="35"/>
        <v>#REF!</v>
      </c>
      <c r="I332" s="433"/>
      <c r="K332" s="320"/>
      <c r="L332" s="320"/>
      <c r="M332" s="320"/>
    </row>
    <row r="333" spans="1:13" ht="15" x14ac:dyDescent="0.25">
      <c r="A333" s="437"/>
      <c r="B333" s="95">
        <v>533</v>
      </c>
      <c r="C333" s="96" t="s">
        <v>99</v>
      </c>
      <c r="D333" s="318" t="e">
        <f>VLOOKUP(B333,#REF!,7,0)</f>
        <v>#REF!</v>
      </c>
      <c r="E333" s="318" t="e">
        <f t="shared" si="33"/>
        <v>#REF!</v>
      </c>
      <c r="F333" s="318" t="e">
        <f>VLOOKUP(B333,#REF!,7,0)</f>
        <v>#REF!</v>
      </c>
      <c r="G333" s="97" t="e">
        <f t="shared" si="34"/>
        <v>#REF!</v>
      </c>
      <c r="H333" s="333" t="e">
        <f t="shared" si="35"/>
        <v>#REF!</v>
      </c>
      <c r="I333" s="433"/>
      <c r="K333" s="320"/>
      <c r="L333" s="320"/>
      <c r="M333" s="320"/>
    </row>
    <row r="334" spans="1:13" ht="15" x14ac:dyDescent="0.25">
      <c r="A334" s="437"/>
      <c r="B334" s="95">
        <v>719</v>
      </c>
      <c r="C334" s="96" t="s">
        <v>102</v>
      </c>
      <c r="D334" s="318" t="e">
        <f>VLOOKUP(B334,#REF!,7,0)</f>
        <v>#REF!</v>
      </c>
      <c r="E334" s="318" t="e">
        <f t="shared" si="33"/>
        <v>#REF!</v>
      </c>
      <c r="F334" s="318" t="e">
        <f>VLOOKUP(B334,#REF!,7,0)</f>
        <v>#REF!</v>
      </c>
      <c r="G334" s="97" t="e">
        <f t="shared" si="34"/>
        <v>#REF!</v>
      </c>
      <c r="H334" s="333" t="e">
        <f t="shared" si="35"/>
        <v>#REF!</v>
      </c>
      <c r="I334" s="433"/>
      <c r="K334" s="320"/>
      <c r="L334" s="320"/>
      <c r="M334" s="320"/>
    </row>
    <row r="335" spans="1:13" ht="15.75" thickBot="1" x14ac:dyDescent="0.3">
      <c r="A335" s="438"/>
      <c r="B335" s="95">
        <v>731</v>
      </c>
      <c r="C335" s="96" t="s">
        <v>103</v>
      </c>
      <c r="D335" s="318" t="e">
        <f>VLOOKUP(B335,#REF!,7,0)</f>
        <v>#REF!</v>
      </c>
      <c r="E335" s="318" t="e">
        <f t="shared" si="33"/>
        <v>#REF!</v>
      </c>
      <c r="F335" s="318" t="e">
        <f>VLOOKUP(B335,#REF!,7,0)</f>
        <v>#REF!</v>
      </c>
      <c r="G335" s="97" t="e">
        <f t="shared" si="34"/>
        <v>#REF!</v>
      </c>
      <c r="H335" s="333" t="e">
        <f t="shared" si="35"/>
        <v>#REF!</v>
      </c>
      <c r="I335" s="433"/>
      <c r="K335" s="320"/>
      <c r="L335" s="320"/>
      <c r="M335" s="320"/>
    </row>
    <row r="336" spans="1:13" ht="16.5" thickTop="1" thickBot="1" x14ac:dyDescent="0.25">
      <c r="A336" s="12"/>
      <c r="B336" s="60"/>
      <c r="C336" s="98" t="s">
        <v>7</v>
      </c>
      <c r="D336" s="319" t="e">
        <f>SUM(D324:D335)</f>
        <v>#REF!</v>
      </c>
      <c r="E336" s="319" t="e">
        <f>SUM(E324:E335)</f>
        <v>#REF!</v>
      </c>
      <c r="F336" s="319" t="e">
        <f>SUM(F324:F335)</f>
        <v>#REF!</v>
      </c>
      <c r="G336" s="94" t="e">
        <f t="shared" si="34"/>
        <v>#REF!</v>
      </c>
      <c r="H336" s="334" t="e">
        <f t="shared" si="35"/>
        <v>#REF!</v>
      </c>
      <c r="I336" s="433"/>
      <c r="K336" s="320"/>
      <c r="L336" s="320"/>
      <c r="M336" s="320"/>
    </row>
    <row r="337" spans="1:13" ht="13.5" thickTop="1" x14ac:dyDescent="0.2">
      <c r="A337" s="12"/>
      <c r="B337" s="60"/>
      <c r="C337" s="12"/>
      <c r="D337" s="12"/>
      <c r="E337" s="12"/>
      <c r="F337" s="12"/>
      <c r="G337" s="12"/>
      <c r="H337" s="12"/>
      <c r="I337" s="433"/>
      <c r="K337" s="320"/>
      <c r="L337" s="320"/>
      <c r="M337" s="320"/>
    </row>
    <row r="338" spans="1:13" x14ac:dyDescent="0.2">
      <c r="A338" s="12"/>
      <c r="B338" s="60"/>
      <c r="C338" s="12"/>
      <c r="D338" s="316" t="s">
        <v>8</v>
      </c>
      <c r="E338" s="368" t="s">
        <v>13</v>
      </c>
      <c r="F338" s="369"/>
      <c r="G338" s="89" t="s">
        <v>14</v>
      </c>
      <c r="H338" s="91"/>
      <c r="I338" s="433"/>
      <c r="K338" s="320"/>
      <c r="L338" s="320"/>
      <c r="M338" s="320"/>
    </row>
    <row r="339" spans="1:13" ht="15" x14ac:dyDescent="0.25">
      <c r="A339" s="439" t="s">
        <v>16</v>
      </c>
      <c r="B339" s="95">
        <v>12</v>
      </c>
      <c r="C339" s="96" t="s">
        <v>90</v>
      </c>
      <c r="D339" s="317" t="e">
        <f>VLOOKUP(B339,#REF!,3,0)</f>
        <v>#REF!</v>
      </c>
      <c r="E339" s="442" t="e">
        <f>INDEX(#REF!,MATCH(B339,#REF!,0),MATCH(#REF!,#REF!,0))</f>
        <v>#REF!</v>
      </c>
      <c r="F339" s="442"/>
      <c r="G339" s="99" t="e">
        <f>(D339-E339)/E339</f>
        <v>#REF!</v>
      </c>
      <c r="H339" s="12"/>
      <c r="I339" s="433"/>
      <c r="K339" s="320"/>
      <c r="L339" s="320"/>
      <c r="M339" s="320"/>
    </row>
    <row r="340" spans="1:13" ht="15" x14ac:dyDescent="0.25">
      <c r="A340" s="440"/>
      <c r="B340" s="95">
        <v>93</v>
      </c>
      <c r="C340" s="96" t="s">
        <v>91</v>
      </c>
      <c r="D340" s="317" t="e">
        <f>VLOOKUP(B340,#REF!,3,0)</f>
        <v>#REF!</v>
      </c>
      <c r="E340" s="442" t="e">
        <f>INDEX(#REF!,MATCH(B340,#REF!,0),MATCH(#REF!,#REF!,0))</f>
        <v>#REF!</v>
      </c>
      <c r="F340" s="442"/>
      <c r="G340" s="99" t="e">
        <f t="shared" ref="G340:G350" si="36">(D340-E340)/E340</f>
        <v>#REF!</v>
      </c>
      <c r="H340" s="12"/>
      <c r="I340" s="433"/>
      <c r="K340" s="320"/>
      <c r="L340" s="320"/>
      <c r="M340" s="320"/>
    </row>
    <row r="341" spans="1:13" ht="15" x14ac:dyDescent="0.25">
      <c r="A341" s="440"/>
      <c r="B341" s="95">
        <v>117</v>
      </c>
      <c r="C341" s="96" t="s">
        <v>92</v>
      </c>
      <c r="D341" s="317" t="e">
        <f>VLOOKUP(B341,#REF!,3,0)</f>
        <v>#REF!</v>
      </c>
      <c r="E341" s="442" t="e">
        <f>INDEX(#REF!,MATCH(B341,#REF!,0),MATCH(#REF!,#REF!,0))</f>
        <v>#REF!</v>
      </c>
      <c r="F341" s="442"/>
      <c r="G341" s="99" t="e">
        <f t="shared" si="36"/>
        <v>#REF!</v>
      </c>
      <c r="H341" s="12"/>
      <c r="I341" s="433"/>
      <c r="K341" s="320"/>
      <c r="L341" s="320"/>
      <c r="M341" s="320"/>
    </row>
    <row r="342" spans="1:13" ht="15" x14ac:dyDescent="0.25">
      <c r="A342" s="440"/>
      <c r="B342" s="95">
        <v>153</v>
      </c>
      <c r="C342" s="96" t="s">
        <v>93</v>
      </c>
      <c r="D342" s="317" t="e">
        <f>VLOOKUP(B342,#REF!,3,0)</f>
        <v>#REF!</v>
      </c>
      <c r="E342" s="442" t="e">
        <f>INDEX(#REF!,MATCH(B342,#REF!,0),MATCH(#REF!,#REF!,0))</f>
        <v>#REF!</v>
      </c>
      <c r="F342" s="442"/>
      <c r="G342" s="99" t="e">
        <f t="shared" si="36"/>
        <v>#REF!</v>
      </c>
      <c r="H342" s="12"/>
      <c r="I342" s="433"/>
      <c r="K342" s="320"/>
      <c r="L342" s="320"/>
      <c r="M342" s="320"/>
    </row>
    <row r="343" spans="1:13" ht="15" x14ac:dyDescent="0.25">
      <c r="A343" s="440"/>
      <c r="B343" s="95">
        <v>182</v>
      </c>
      <c r="C343" s="96" t="s">
        <v>94</v>
      </c>
      <c r="D343" s="317" t="e">
        <f>VLOOKUP(B343,#REF!,3,0)</f>
        <v>#REF!</v>
      </c>
      <c r="E343" s="442" t="e">
        <f>INDEX(#REF!,MATCH(B343,#REF!,0),MATCH(#REF!,#REF!,0))</f>
        <v>#REF!</v>
      </c>
      <c r="F343" s="442"/>
      <c r="G343" s="99" t="e">
        <f t="shared" si="36"/>
        <v>#REF!</v>
      </c>
      <c r="H343" s="12"/>
      <c r="I343" s="433"/>
      <c r="K343" s="320"/>
      <c r="L343" s="320"/>
      <c r="M343" s="320"/>
    </row>
    <row r="344" spans="1:13" ht="15" x14ac:dyDescent="0.25">
      <c r="A344" s="440"/>
      <c r="B344" s="95">
        <v>271</v>
      </c>
      <c r="C344" s="96" t="s">
        <v>95</v>
      </c>
      <c r="D344" s="317" t="e">
        <f>VLOOKUP(B344,#REF!,3,0)</f>
        <v>#REF!</v>
      </c>
      <c r="E344" s="442" t="e">
        <f>INDEX(#REF!,MATCH(B344,#REF!,0),MATCH(#REF!,#REF!,0))</f>
        <v>#REF!</v>
      </c>
      <c r="F344" s="442"/>
      <c r="G344" s="99" t="e">
        <f t="shared" si="36"/>
        <v>#REF!</v>
      </c>
      <c r="H344" s="12"/>
      <c r="I344" s="433"/>
      <c r="K344" s="320"/>
      <c r="L344" s="320"/>
      <c r="M344" s="320"/>
    </row>
    <row r="345" spans="1:13" ht="15" x14ac:dyDescent="0.25">
      <c r="A345" s="440"/>
      <c r="B345" s="95">
        <v>407</v>
      </c>
      <c r="C345" s="96" t="s">
        <v>96</v>
      </c>
      <c r="D345" s="317" t="e">
        <f>VLOOKUP(B345,#REF!,3,0)</f>
        <v>#REF!</v>
      </c>
      <c r="E345" s="442" t="e">
        <f>INDEX(#REF!,MATCH(B345,#REF!,0),MATCH(#REF!,#REF!,0))</f>
        <v>#REF!</v>
      </c>
      <c r="F345" s="442"/>
      <c r="G345" s="99" t="e">
        <f t="shared" si="36"/>
        <v>#REF!</v>
      </c>
      <c r="H345" s="12"/>
      <c r="I345" s="433"/>
      <c r="K345" s="320"/>
      <c r="L345" s="320"/>
      <c r="M345" s="320"/>
    </row>
    <row r="346" spans="1:13" ht="15" x14ac:dyDescent="0.25">
      <c r="A346" s="440"/>
      <c r="B346" s="95">
        <v>424</v>
      </c>
      <c r="C346" s="96" t="s">
        <v>97</v>
      </c>
      <c r="D346" s="317" t="e">
        <f>VLOOKUP(B346,#REF!,3,0)</f>
        <v>#REF!</v>
      </c>
      <c r="E346" s="442" t="e">
        <f>INDEX(#REF!,MATCH(B346,#REF!,0),MATCH(#REF!,#REF!,0))</f>
        <v>#REF!</v>
      </c>
      <c r="F346" s="442"/>
      <c r="G346" s="99" t="e">
        <f t="shared" si="36"/>
        <v>#REF!</v>
      </c>
      <c r="H346" s="12"/>
      <c r="I346" s="433"/>
      <c r="K346" s="320"/>
      <c r="L346" s="320"/>
      <c r="M346" s="320"/>
    </row>
    <row r="347" spans="1:13" ht="15" x14ac:dyDescent="0.25">
      <c r="A347" s="440"/>
      <c r="B347" s="95">
        <v>502</v>
      </c>
      <c r="C347" s="96" t="s">
        <v>98</v>
      </c>
      <c r="D347" s="317" t="e">
        <f>VLOOKUP(B347,#REF!,3,0)</f>
        <v>#REF!</v>
      </c>
      <c r="E347" s="442" t="e">
        <f>INDEX(#REF!,MATCH(B347,#REF!,0),MATCH(#REF!,#REF!,0))</f>
        <v>#REF!</v>
      </c>
      <c r="F347" s="442"/>
      <c r="G347" s="99" t="e">
        <f t="shared" si="36"/>
        <v>#REF!</v>
      </c>
      <c r="H347" s="26"/>
      <c r="I347" s="433"/>
      <c r="K347" s="320"/>
      <c r="L347" s="320"/>
      <c r="M347" s="320"/>
    </row>
    <row r="348" spans="1:13" ht="15" x14ac:dyDescent="0.25">
      <c r="A348" s="440"/>
      <c r="B348" s="95">
        <v>533</v>
      </c>
      <c r="C348" s="96" t="s">
        <v>99</v>
      </c>
      <c r="D348" s="317" t="e">
        <f>VLOOKUP(B348,#REF!,3,0)</f>
        <v>#REF!</v>
      </c>
      <c r="E348" s="442" t="e">
        <f>INDEX(#REF!,MATCH(B348,#REF!,0),MATCH(#REF!,#REF!,0))</f>
        <v>#REF!</v>
      </c>
      <c r="F348" s="442"/>
      <c r="G348" s="99" t="e">
        <f t="shared" si="36"/>
        <v>#REF!</v>
      </c>
      <c r="H348" s="12"/>
      <c r="I348" s="433"/>
      <c r="K348" s="320"/>
      <c r="L348" s="320"/>
      <c r="M348" s="320"/>
    </row>
    <row r="349" spans="1:13" ht="15" x14ac:dyDescent="0.25">
      <c r="A349" s="440"/>
      <c r="B349" s="95">
        <v>719</v>
      </c>
      <c r="C349" s="96" t="s">
        <v>102</v>
      </c>
      <c r="D349" s="317" t="e">
        <f>VLOOKUP(B349,#REF!,3,0)</f>
        <v>#REF!</v>
      </c>
      <c r="E349" s="442" t="e">
        <f>INDEX(#REF!,MATCH(B349,#REF!,0),MATCH(#REF!,#REF!,0))</f>
        <v>#REF!</v>
      </c>
      <c r="F349" s="442"/>
      <c r="G349" s="99" t="e">
        <f t="shared" si="36"/>
        <v>#REF!</v>
      </c>
      <c r="H349" s="12"/>
      <c r="I349" s="433"/>
      <c r="K349" s="320"/>
      <c r="L349" s="320"/>
      <c r="M349" s="320"/>
    </row>
    <row r="350" spans="1:13" ht="15.75" thickBot="1" x14ac:dyDescent="0.3">
      <c r="A350" s="441"/>
      <c r="B350" s="95">
        <v>731</v>
      </c>
      <c r="C350" s="96" t="s">
        <v>103</v>
      </c>
      <c r="D350" s="317" t="e">
        <f>VLOOKUP(B350,#REF!,3,0)</f>
        <v>#REF!</v>
      </c>
      <c r="E350" s="442" t="e">
        <f>INDEX(#REF!,MATCH(B350,#REF!,0),MATCH(#REF!,#REF!,0))</f>
        <v>#REF!</v>
      </c>
      <c r="F350" s="442"/>
      <c r="G350" s="99" t="e">
        <f t="shared" si="36"/>
        <v>#REF!</v>
      </c>
      <c r="H350" s="12"/>
      <c r="I350" s="433"/>
      <c r="K350" s="320"/>
      <c r="L350" s="320"/>
      <c r="M350" s="320"/>
    </row>
    <row r="351" spans="1:13" ht="16.5" thickTop="1" thickBot="1" x14ac:dyDescent="0.25">
      <c r="A351" s="13"/>
      <c r="B351" s="86"/>
      <c r="C351" s="98" t="s">
        <v>7</v>
      </c>
      <c r="D351" s="226" t="e">
        <f>SUM(D339:D349)</f>
        <v>#REF!</v>
      </c>
      <c r="E351" s="431" t="e">
        <f>SUM(E339:E350)</f>
        <v>#REF!</v>
      </c>
      <c r="F351" s="431"/>
      <c r="G351" s="100" t="e">
        <f>(D351-E351)/E351</f>
        <v>#REF!</v>
      </c>
      <c r="H351" s="12"/>
      <c r="I351" s="434"/>
      <c r="K351" s="320"/>
      <c r="L351" s="320"/>
      <c r="M351" s="320"/>
    </row>
    <row r="352" spans="1:13" ht="13.5" thickTop="1" x14ac:dyDescent="0.2"/>
  </sheetData>
  <mergeCells count="182">
    <mergeCell ref="E349:F349"/>
    <mergeCell ref="E350:F350"/>
    <mergeCell ref="E351:F351"/>
    <mergeCell ref="E317:F317"/>
    <mergeCell ref="E318:F318"/>
    <mergeCell ref="I320:I351"/>
    <mergeCell ref="A324:A335"/>
    <mergeCell ref="E338:F338"/>
    <mergeCell ref="A339:A350"/>
    <mergeCell ref="E339:F339"/>
    <mergeCell ref="E340:F340"/>
    <mergeCell ref="E341:F341"/>
    <mergeCell ref="E342:F342"/>
    <mergeCell ref="E343:F343"/>
    <mergeCell ref="E344:F344"/>
    <mergeCell ref="E345:F345"/>
    <mergeCell ref="E346:F346"/>
    <mergeCell ref="E347:F347"/>
    <mergeCell ref="E348:F348"/>
    <mergeCell ref="E285:F285"/>
    <mergeCell ref="I287:I318"/>
    <mergeCell ref="A291:A302"/>
    <mergeCell ref="E305:F305"/>
    <mergeCell ref="A306:A317"/>
    <mergeCell ref="E306:F306"/>
    <mergeCell ref="E307:F307"/>
    <mergeCell ref="E308:F308"/>
    <mergeCell ref="E309:F309"/>
    <mergeCell ref="E310:F310"/>
    <mergeCell ref="E311:F311"/>
    <mergeCell ref="E312:F312"/>
    <mergeCell ref="E313:F313"/>
    <mergeCell ref="E314:F314"/>
    <mergeCell ref="E315:F315"/>
    <mergeCell ref="E316:F316"/>
    <mergeCell ref="I254:I285"/>
    <mergeCell ref="A258:A269"/>
    <mergeCell ref="E272:F272"/>
    <mergeCell ref="A273:A284"/>
    <mergeCell ref="E273:F273"/>
    <mergeCell ref="E274:F274"/>
    <mergeCell ref="E275:F275"/>
    <mergeCell ref="E276:F276"/>
    <mergeCell ref="E277:F277"/>
    <mergeCell ref="E278:F278"/>
    <mergeCell ref="E279:F279"/>
    <mergeCell ref="E280:F280"/>
    <mergeCell ref="E281:F281"/>
    <mergeCell ref="E282:F282"/>
    <mergeCell ref="E283:F283"/>
    <mergeCell ref="E284:F284"/>
    <mergeCell ref="A224:A235"/>
    <mergeCell ref="E238:F238"/>
    <mergeCell ref="A239:A250"/>
    <mergeCell ref="E239:F239"/>
    <mergeCell ref="E240:F240"/>
    <mergeCell ref="E241:F241"/>
    <mergeCell ref="E242:F242"/>
    <mergeCell ref="E243:F243"/>
    <mergeCell ref="E244:F244"/>
    <mergeCell ref="E245:F245"/>
    <mergeCell ref="E246:F246"/>
    <mergeCell ref="E247:F247"/>
    <mergeCell ref="E248:F248"/>
    <mergeCell ref="E249:F249"/>
    <mergeCell ref="E250:F250"/>
    <mergeCell ref="E215:F215"/>
    <mergeCell ref="E216:F216"/>
    <mergeCell ref="E217:F217"/>
    <mergeCell ref="E218:F218"/>
    <mergeCell ref="I220:I251"/>
    <mergeCell ref="E251:F251"/>
    <mergeCell ref="E183:F183"/>
    <mergeCell ref="E184:F184"/>
    <mergeCell ref="E185:F185"/>
    <mergeCell ref="I187:I218"/>
    <mergeCell ref="A191:A202"/>
    <mergeCell ref="E205:F205"/>
    <mergeCell ref="A206:A217"/>
    <mergeCell ref="E206:F206"/>
    <mergeCell ref="E207:F207"/>
    <mergeCell ref="E208:F208"/>
    <mergeCell ref="E209:F209"/>
    <mergeCell ref="E210:F210"/>
    <mergeCell ref="E211:F211"/>
    <mergeCell ref="E212:F212"/>
    <mergeCell ref="E213:F213"/>
    <mergeCell ref="E214:F214"/>
    <mergeCell ref="A48:B48"/>
    <mergeCell ref="A49:B49"/>
    <mergeCell ref="I154:I185"/>
    <mergeCell ref="A158:A169"/>
    <mergeCell ref="E172:F172"/>
    <mergeCell ref="A173:A184"/>
    <mergeCell ref="E173:F173"/>
    <mergeCell ref="E174:F174"/>
    <mergeCell ref="E175:F175"/>
    <mergeCell ref="E176:F176"/>
    <mergeCell ref="E177:F177"/>
    <mergeCell ref="E178:F178"/>
    <mergeCell ref="E179:F179"/>
    <mergeCell ref="E180:F180"/>
    <mergeCell ref="E181:F181"/>
    <mergeCell ref="E182:F182"/>
    <mergeCell ref="A1:G1"/>
    <mergeCell ref="A28:C28"/>
    <mergeCell ref="A42:B42"/>
    <mergeCell ref="A29:B29"/>
    <mergeCell ref="A33:B33"/>
    <mergeCell ref="A32:B32"/>
    <mergeCell ref="A31:B31"/>
    <mergeCell ref="A30:B30"/>
    <mergeCell ref="A37:B37"/>
    <mergeCell ref="A38:B38"/>
    <mergeCell ref="A39:B39"/>
    <mergeCell ref="A40:B40"/>
    <mergeCell ref="A41:B41"/>
    <mergeCell ref="M3:O3"/>
    <mergeCell ref="A36:C36"/>
    <mergeCell ref="A44:C44"/>
    <mergeCell ref="A53:C53"/>
    <mergeCell ref="A20:C20"/>
    <mergeCell ref="I3:K3"/>
    <mergeCell ref="F4:G4"/>
    <mergeCell ref="F5:G5"/>
    <mergeCell ref="A12:C12"/>
    <mergeCell ref="C38:C41"/>
    <mergeCell ref="A26:B26"/>
    <mergeCell ref="A34:B34"/>
    <mergeCell ref="A50:B50"/>
    <mergeCell ref="A45:B45"/>
    <mergeCell ref="A46:B46"/>
    <mergeCell ref="A47:B47"/>
    <mergeCell ref="I1:O1"/>
    <mergeCell ref="A67:A76"/>
    <mergeCell ref="E79:F79"/>
    <mergeCell ref="A80:A89"/>
    <mergeCell ref="E80:F80"/>
    <mergeCell ref="E81:F81"/>
    <mergeCell ref="E82:F82"/>
    <mergeCell ref="E83:F83"/>
    <mergeCell ref="E84:F84"/>
    <mergeCell ref="E85:F85"/>
    <mergeCell ref="E86:F86"/>
    <mergeCell ref="E87:F87"/>
    <mergeCell ref="E88:F88"/>
    <mergeCell ref="E89:F89"/>
    <mergeCell ref="M27:O27"/>
    <mergeCell ref="A61:C61"/>
    <mergeCell ref="A97:A105"/>
    <mergeCell ref="E108:F108"/>
    <mergeCell ref="A109:A117"/>
    <mergeCell ref="E109:F109"/>
    <mergeCell ref="E110:F110"/>
    <mergeCell ref="E111:F111"/>
    <mergeCell ref="E112:F112"/>
    <mergeCell ref="E113:F113"/>
    <mergeCell ref="E114:F114"/>
    <mergeCell ref="E115:F115"/>
    <mergeCell ref="E116:F116"/>
    <mergeCell ref="E117:F117"/>
    <mergeCell ref="A125:A136"/>
    <mergeCell ref="E139:F139"/>
    <mergeCell ref="A140:A151"/>
    <mergeCell ref="E140:F140"/>
    <mergeCell ref="E141:F141"/>
    <mergeCell ref="E142:F142"/>
    <mergeCell ref="E143:F143"/>
    <mergeCell ref="E144:F144"/>
    <mergeCell ref="E145:F145"/>
    <mergeCell ref="E146:F146"/>
    <mergeCell ref="E147:F147"/>
    <mergeCell ref="E148:F148"/>
    <mergeCell ref="E149:F149"/>
    <mergeCell ref="E150:F150"/>
    <mergeCell ref="E151:F151"/>
    <mergeCell ref="E152:F152"/>
    <mergeCell ref="I63:I90"/>
    <mergeCell ref="I93:I118"/>
    <mergeCell ref="I121:I152"/>
    <mergeCell ref="E118:F118"/>
    <mergeCell ref="E90:F90"/>
  </mergeCells>
  <conditionalFormatting sqref="E14:E17 E22:E24">
    <cfRule type="cellIs" dxfId="77" priority="214" operator="greaterThanOrEqual">
      <formula>1</formula>
    </cfRule>
    <cfRule type="cellIs" dxfId="76" priority="215" operator="lessThan">
      <formula>0.9</formula>
    </cfRule>
    <cfRule type="cellIs" dxfId="75" priority="216" operator="between">
      <formula>0.9</formula>
      <formula>1</formula>
    </cfRule>
  </conditionalFormatting>
  <conditionalFormatting sqref="E55:E58">
    <cfRule type="cellIs" dxfId="74" priority="199" operator="greaterThanOrEqual">
      <formula>0</formula>
    </cfRule>
    <cfRule type="cellIs" dxfId="73" priority="200" operator="lessThan">
      <formula>0</formula>
    </cfRule>
  </conditionalFormatting>
  <conditionalFormatting sqref="E30:E32">
    <cfRule type="cellIs" dxfId="72" priority="186" operator="greaterThanOrEqual">
      <formula>1</formula>
    </cfRule>
    <cfRule type="cellIs" dxfId="71" priority="187" operator="lessThan">
      <formula>0.9</formula>
    </cfRule>
    <cfRule type="cellIs" dxfId="70" priority="188" operator="between">
      <formula>0.9</formula>
      <formula>1</formula>
    </cfRule>
  </conditionalFormatting>
  <conditionalFormatting sqref="E38:E40">
    <cfRule type="cellIs" dxfId="69" priority="183" operator="greaterThanOrEqual">
      <formula>1</formula>
    </cfRule>
    <cfRule type="cellIs" dxfId="68" priority="184" operator="lessThan">
      <formula>0.9</formula>
    </cfRule>
    <cfRule type="cellIs" dxfId="67" priority="185" operator="between">
      <formula>0.9</formula>
      <formula>1</formula>
    </cfRule>
  </conditionalFormatting>
  <conditionalFormatting sqref="E46">
    <cfRule type="cellIs" dxfId="66" priority="180" operator="greaterThanOrEqual">
      <formula>1</formula>
    </cfRule>
    <cfRule type="cellIs" dxfId="65" priority="181" operator="lessThan">
      <formula>0.9</formula>
    </cfRule>
    <cfRule type="cellIs" dxfId="64" priority="182" operator="between">
      <formula>0.9</formula>
      <formula>1</formula>
    </cfRule>
  </conditionalFormatting>
  <conditionalFormatting sqref="E47">
    <cfRule type="cellIs" dxfId="63" priority="177" operator="greaterThanOrEqual">
      <formula>1</formula>
    </cfRule>
    <cfRule type="cellIs" dxfId="62" priority="178" operator="lessThan">
      <formula>0.9</formula>
    </cfRule>
    <cfRule type="cellIs" dxfId="61" priority="179" operator="between">
      <formula>0.9</formula>
      <formula>1</formula>
    </cfRule>
  </conditionalFormatting>
  <conditionalFormatting sqref="E48">
    <cfRule type="cellIs" dxfId="60" priority="174" operator="greaterThanOrEqual">
      <formula>1</formula>
    </cfRule>
    <cfRule type="cellIs" dxfId="59" priority="175" operator="lessThan">
      <formula>0.9</formula>
    </cfRule>
    <cfRule type="cellIs" dxfId="58" priority="176" operator="between">
      <formula>0.9</formula>
      <formula>1</formula>
    </cfRule>
  </conditionalFormatting>
  <conditionalFormatting sqref="J40">
    <cfRule type="iconSet" priority="131">
      <iconSet iconSet="3Arrows">
        <cfvo type="percent" val="0"/>
        <cfvo type="formula" val="$K$27"/>
        <cfvo type="formula" val="$K$27"/>
      </iconSet>
    </cfRule>
  </conditionalFormatting>
  <conditionalFormatting sqref="J5">
    <cfRule type="iconSet" priority="102">
      <iconSet iconSet="3Arrows">
        <cfvo type="percent" val="0"/>
        <cfvo type="formula" val="$K$5"/>
        <cfvo type="formula" val="$K$5"/>
      </iconSet>
    </cfRule>
  </conditionalFormatting>
  <conditionalFormatting sqref="J6">
    <cfRule type="iconSet" priority="101">
      <iconSet iconSet="3Arrows">
        <cfvo type="percent" val="0"/>
        <cfvo type="formula" val="$K$6"/>
        <cfvo type="formula" val="$K$6"/>
      </iconSet>
    </cfRule>
  </conditionalFormatting>
  <conditionalFormatting sqref="J9">
    <cfRule type="iconSet" priority="99">
      <iconSet iconSet="3Arrows">
        <cfvo type="percent" val="0"/>
        <cfvo type="formula" val="$K$9"/>
        <cfvo type="formula" val="$K$9"/>
      </iconSet>
    </cfRule>
  </conditionalFormatting>
  <conditionalFormatting sqref="J7">
    <cfRule type="iconSet" priority="98">
      <iconSet iconSet="3Arrows">
        <cfvo type="percent" val="0"/>
        <cfvo type="formula" val="$K$7"/>
        <cfvo type="formula" val="$K$7"/>
      </iconSet>
    </cfRule>
  </conditionalFormatting>
  <conditionalFormatting sqref="J8">
    <cfRule type="iconSet" priority="103">
      <iconSet iconSet="3Arrows">
        <cfvo type="percent" val="0"/>
        <cfvo type="formula" val="$K$8"/>
        <cfvo type="formula" val="$K$8"/>
      </iconSet>
    </cfRule>
  </conditionalFormatting>
  <conditionalFormatting sqref="J10">
    <cfRule type="iconSet" priority="97">
      <iconSet iconSet="3Arrows">
        <cfvo type="percent" val="0"/>
        <cfvo type="formula" val="$K$10"/>
        <cfvo type="formula" val="$K$10"/>
      </iconSet>
    </cfRule>
  </conditionalFormatting>
  <conditionalFormatting sqref="J11">
    <cfRule type="iconSet" priority="96">
      <iconSet iconSet="3Arrows">
        <cfvo type="percent" val="0"/>
        <cfvo type="formula" val="$K$11"/>
        <cfvo type="formula" val="$K$11"/>
      </iconSet>
    </cfRule>
  </conditionalFormatting>
  <conditionalFormatting sqref="J12">
    <cfRule type="iconSet" priority="95">
      <iconSet iconSet="3Arrows">
        <cfvo type="percent" val="0"/>
        <cfvo type="formula" val="$K$12"/>
        <cfvo type="formula" val="$K$12"/>
      </iconSet>
    </cfRule>
  </conditionalFormatting>
  <conditionalFormatting sqref="J13">
    <cfRule type="iconSet" priority="94">
      <iconSet iconSet="3Arrows">
        <cfvo type="percent" val="0"/>
        <cfvo type="formula" val="$K$13"/>
        <cfvo type="formula" val="$K$13"/>
      </iconSet>
    </cfRule>
  </conditionalFormatting>
  <conditionalFormatting sqref="J14">
    <cfRule type="iconSet" priority="93">
      <iconSet iconSet="3Arrows">
        <cfvo type="percent" val="0"/>
        <cfvo type="formula" val="$K$14"/>
        <cfvo type="formula" val="$K$14"/>
      </iconSet>
    </cfRule>
  </conditionalFormatting>
  <conditionalFormatting sqref="J15">
    <cfRule type="iconSet" priority="92">
      <iconSet iconSet="3Arrows">
        <cfvo type="percent" val="0"/>
        <cfvo type="formula" val="$K$15"/>
        <cfvo type="formula" val="$K$15"/>
      </iconSet>
    </cfRule>
  </conditionalFormatting>
  <conditionalFormatting sqref="J16">
    <cfRule type="iconSet" priority="91">
      <iconSet iconSet="3Arrows">
        <cfvo type="percent" val="0"/>
        <cfvo type="formula" val="$K$16"/>
        <cfvo type="formula" val="$K$16"/>
      </iconSet>
    </cfRule>
  </conditionalFormatting>
  <conditionalFormatting sqref="J17">
    <cfRule type="iconSet" priority="90">
      <iconSet iconSet="3Arrows">
        <cfvo type="percent" val="0"/>
        <cfvo type="formula" val="$K$17"/>
        <cfvo type="formula" val="$K$17"/>
      </iconSet>
    </cfRule>
  </conditionalFormatting>
  <conditionalFormatting sqref="J18">
    <cfRule type="iconSet" priority="89">
      <iconSet iconSet="3Arrows">
        <cfvo type="percent" val="0"/>
        <cfvo type="formula" val="$K$18"/>
        <cfvo type="formula" val="$K$18"/>
      </iconSet>
    </cfRule>
  </conditionalFormatting>
  <conditionalFormatting sqref="J19">
    <cfRule type="iconSet" priority="88">
      <iconSet iconSet="3Arrows">
        <cfvo type="percent" val="0"/>
        <cfvo type="formula" val="$K$19"/>
        <cfvo type="formula" val="$K$19"/>
      </iconSet>
    </cfRule>
  </conditionalFormatting>
  <conditionalFormatting sqref="J20">
    <cfRule type="iconSet" priority="87">
      <iconSet iconSet="3Arrows">
        <cfvo type="percent" val="0"/>
        <cfvo type="formula" val="$K$20"/>
        <cfvo type="formula" val="$K$20"/>
      </iconSet>
    </cfRule>
  </conditionalFormatting>
  <conditionalFormatting sqref="J21">
    <cfRule type="iconSet" priority="86">
      <iconSet iconSet="3Arrows">
        <cfvo type="percent" val="0"/>
        <cfvo type="formula" val="$K$21"/>
        <cfvo type="formula" val="$K$21"/>
      </iconSet>
    </cfRule>
  </conditionalFormatting>
  <conditionalFormatting sqref="J22">
    <cfRule type="iconSet" priority="85">
      <iconSet iconSet="3Arrows">
        <cfvo type="percent" val="0"/>
        <cfvo type="formula" val="$K$22"/>
        <cfvo type="formula" val="$K$22"/>
      </iconSet>
    </cfRule>
  </conditionalFormatting>
  <conditionalFormatting sqref="J23">
    <cfRule type="iconSet" priority="84">
      <iconSet iconSet="3Arrows">
        <cfvo type="percent" val="0"/>
        <cfvo type="formula" val="$K$23"/>
        <cfvo type="formula" val="$K$23"/>
      </iconSet>
    </cfRule>
  </conditionalFormatting>
  <conditionalFormatting sqref="J24">
    <cfRule type="iconSet" priority="83">
      <iconSet iconSet="3Arrows">
        <cfvo type="percent" val="0"/>
        <cfvo type="formula" val="$K$24"/>
        <cfvo type="formula" val="$K$24"/>
      </iconSet>
    </cfRule>
  </conditionalFormatting>
  <conditionalFormatting sqref="J25">
    <cfRule type="iconSet" priority="82">
      <iconSet iconSet="3Arrows">
        <cfvo type="percent" val="0"/>
        <cfvo type="formula" val="$K$25"/>
        <cfvo type="formula" val="$K$25"/>
      </iconSet>
    </cfRule>
  </conditionalFormatting>
  <conditionalFormatting sqref="J26">
    <cfRule type="iconSet" priority="81">
      <iconSet iconSet="3Arrows">
        <cfvo type="percent" val="0"/>
        <cfvo type="formula" val="$K$26"/>
        <cfvo type="formula" val="$K$26"/>
      </iconSet>
    </cfRule>
  </conditionalFormatting>
  <conditionalFormatting sqref="J27">
    <cfRule type="iconSet" priority="80">
      <iconSet iconSet="3Arrows">
        <cfvo type="percent" val="0"/>
        <cfvo type="formula" val="$K$27"/>
        <cfvo type="formula" val="$K$27"/>
      </iconSet>
    </cfRule>
  </conditionalFormatting>
  <conditionalFormatting sqref="J28">
    <cfRule type="iconSet" priority="79">
      <iconSet iconSet="3Arrows">
        <cfvo type="percent" val="0"/>
        <cfvo type="formula" val="$K$28"/>
        <cfvo type="formula" val="$K$28"/>
      </iconSet>
    </cfRule>
  </conditionalFormatting>
  <conditionalFormatting sqref="J29">
    <cfRule type="iconSet" priority="78">
      <iconSet iconSet="3Arrows">
        <cfvo type="percent" val="0"/>
        <cfvo type="formula" val="$K$29"/>
        <cfvo type="formula" val="$K$29"/>
      </iconSet>
    </cfRule>
  </conditionalFormatting>
  <conditionalFormatting sqref="J30">
    <cfRule type="iconSet" priority="77">
      <iconSet iconSet="3Arrows">
        <cfvo type="percent" val="0"/>
        <cfvo type="formula" val="$K$30"/>
        <cfvo type="formula" val="$K$30"/>
      </iconSet>
    </cfRule>
  </conditionalFormatting>
  <conditionalFormatting sqref="J31">
    <cfRule type="iconSet" priority="76">
      <iconSet iconSet="3Arrows">
        <cfvo type="percent" val="0"/>
        <cfvo type="formula" val="$K$31"/>
        <cfvo type="formula" val="$K$31"/>
      </iconSet>
    </cfRule>
  </conditionalFormatting>
  <conditionalFormatting sqref="J32">
    <cfRule type="iconSet" priority="75">
      <iconSet iconSet="3Arrows">
        <cfvo type="percent" val="0"/>
        <cfvo type="formula" val="$K$32"/>
        <cfvo type="formula" val="$K$32"/>
      </iconSet>
    </cfRule>
  </conditionalFormatting>
  <conditionalFormatting sqref="J33">
    <cfRule type="iconSet" priority="74">
      <iconSet iconSet="3Arrows">
        <cfvo type="percent" val="0"/>
        <cfvo type="formula" val="$K$33"/>
        <cfvo type="formula" val="$K$33"/>
      </iconSet>
    </cfRule>
  </conditionalFormatting>
  <conditionalFormatting sqref="J34">
    <cfRule type="iconSet" priority="73">
      <iconSet iconSet="3Arrows">
        <cfvo type="percent" val="0"/>
        <cfvo type="formula" val="$K$34"/>
        <cfvo type="formula" val="$K$34"/>
      </iconSet>
    </cfRule>
  </conditionalFormatting>
  <conditionalFormatting sqref="J35">
    <cfRule type="iconSet" priority="72">
      <iconSet iconSet="3Arrows">
        <cfvo type="percent" val="0"/>
        <cfvo type="formula" val="$K$35"/>
        <cfvo type="formula" val="$K$35"/>
      </iconSet>
    </cfRule>
  </conditionalFormatting>
  <conditionalFormatting sqref="J36">
    <cfRule type="iconSet" priority="71">
      <iconSet iconSet="3Arrows">
        <cfvo type="percent" val="0"/>
        <cfvo type="formula" val="$K$36"/>
        <cfvo type="formula" val="$K$36"/>
      </iconSet>
    </cfRule>
  </conditionalFormatting>
  <conditionalFormatting sqref="J37">
    <cfRule type="iconSet" priority="70">
      <iconSet iconSet="3Arrows">
        <cfvo type="percent" val="0"/>
        <cfvo type="formula" val="$K$37"/>
        <cfvo type="formula" val="$K$37"/>
      </iconSet>
    </cfRule>
  </conditionalFormatting>
  <conditionalFormatting sqref="J38">
    <cfRule type="iconSet" priority="69">
      <iconSet iconSet="3Arrows">
        <cfvo type="percent" val="0"/>
        <cfvo type="formula" val="$K$38"/>
        <cfvo type="formula" val="$K$38"/>
      </iconSet>
    </cfRule>
  </conditionalFormatting>
  <conditionalFormatting sqref="J39">
    <cfRule type="iconSet" priority="68">
      <iconSet iconSet="3Arrows">
        <cfvo type="percent" val="0"/>
        <cfvo type="formula" val="$K$39"/>
        <cfvo type="formula" val="$K$39"/>
      </iconSet>
    </cfRule>
  </conditionalFormatting>
  <conditionalFormatting sqref="N5">
    <cfRule type="iconSet" priority="67">
      <iconSet iconSet="3Arrows">
        <cfvo type="percent" val="0"/>
        <cfvo type="formula" val="$O$5"/>
        <cfvo type="formula" val="$O$5"/>
      </iconSet>
    </cfRule>
  </conditionalFormatting>
  <conditionalFormatting sqref="N6">
    <cfRule type="iconSet" priority="66">
      <iconSet iconSet="3Arrows">
        <cfvo type="percent" val="0"/>
        <cfvo type="formula" val="$O$6"/>
        <cfvo type="formula" val="$O$6"/>
      </iconSet>
    </cfRule>
  </conditionalFormatting>
  <conditionalFormatting sqref="N7">
    <cfRule type="iconSet" priority="65">
      <iconSet iconSet="3Arrows">
        <cfvo type="percent" val="0"/>
        <cfvo type="formula" val="$O$7"/>
        <cfvo type="formula" val="$O$7"/>
      </iconSet>
    </cfRule>
  </conditionalFormatting>
  <conditionalFormatting sqref="N8">
    <cfRule type="iconSet" priority="64">
      <iconSet iconSet="3Arrows">
        <cfvo type="percent" val="0"/>
        <cfvo type="formula" val="$O$8"/>
        <cfvo type="formula" val="$O$8"/>
      </iconSet>
    </cfRule>
  </conditionalFormatting>
  <conditionalFormatting sqref="N9">
    <cfRule type="iconSet" priority="63">
      <iconSet iconSet="3Arrows">
        <cfvo type="percent" val="0"/>
        <cfvo type="formula" val="$O$9"/>
        <cfvo type="formula" val="$O$9"/>
      </iconSet>
    </cfRule>
  </conditionalFormatting>
  <conditionalFormatting sqref="N10">
    <cfRule type="iconSet" priority="62">
      <iconSet iconSet="3Arrows">
        <cfvo type="percent" val="0"/>
        <cfvo type="formula" val="$O$10"/>
        <cfvo type="formula" val="$O$10"/>
      </iconSet>
    </cfRule>
  </conditionalFormatting>
  <conditionalFormatting sqref="N11">
    <cfRule type="iconSet" priority="61">
      <iconSet iconSet="3Arrows">
        <cfvo type="percent" val="0"/>
        <cfvo type="formula" val="$O$11"/>
        <cfvo type="formula" val="$O$11"/>
      </iconSet>
    </cfRule>
  </conditionalFormatting>
  <conditionalFormatting sqref="N12">
    <cfRule type="iconSet" priority="60">
      <iconSet iconSet="3Arrows">
        <cfvo type="percent" val="0"/>
        <cfvo type="formula" val="$O$12"/>
        <cfvo type="formula" val="$O$12"/>
      </iconSet>
    </cfRule>
  </conditionalFormatting>
  <conditionalFormatting sqref="N13">
    <cfRule type="iconSet" priority="59">
      <iconSet iconSet="3Arrows">
        <cfvo type="percent" val="0"/>
        <cfvo type="formula" val="$O$13"/>
        <cfvo type="formula" val="$O$13"/>
      </iconSet>
    </cfRule>
  </conditionalFormatting>
  <conditionalFormatting sqref="N14">
    <cfRule type="iconSet" priority="58">
      <iconSet iconSet="3Arrows">
        <cfvo type="percent" val="0"/>
        <cfvo type="formula" val="$O$14"/>
        <cfvo type="formula" val="$O$14"/>
      </iconSet>
    </cfRule>
  </conditionalFormatting>
  <conditionalFormatting sqref="N15">
    <cfRule type="iconSet" priority="57">
      <iconSet iconSet="3Arrows">
        <cfvo type="percent" val="0"/>
        <cfvo type="formula" val="$O$15"/>
        <cfvo type="formula" val="$O$15"/>
      </iconSet>
    </cfRule>
  </conditionalFormatting>
  <conditionalFormatting sqref="N16">
    <cfRule type="iconSet" priority="56">
      <iconSet iconSet="3Arrows">
        <cfvo type="percent" val="0"/>
        <cfvo type="formula" val="$O$16"/>
        <cfvo type="formula" val="$O$16"/>
      </iconSet>
    </cfRule>
  </conditionalFormatting>
  <conditionalFormatting sqref="N17">
    <cfRule type="iconSet" priority="55">
      <iconSet iconSet="3Arrows">
        <cfvo type="percent" val="0"/>
        <cfvo type="formula" val="$O$17"/>
        <cfvo type="formula" val="$O$17"/>
      </iconSet>
    </cfRule>
  </conditionalFormatting>
  <conditionalFormatting sqref="N18">
    <cfRule type="iconSet" priority="54">
      <iconSet iconSet="3Arrows">
        <cfvo type="percent" val="0"/>
        <cfvo type="formula" val="$O$18"/>
        <cfvo type="formula" val="$O$18"/>
      </iconSet>
    </cfRule>
  </conditionalFormatting>
  <conditionalFormatting sqref="N19">
    <cfRule type="iconSet" priority="53">
      <iconSet iconSet="3Arrows">
        <cfvo type="percent" val="0"/>
        <cfvo type="formula" val="$O$19"/>
        <cfvo type="formula" val="$O$19"/>
      </iconSet>
    </cfRule>
  </conditionalFormatting>
  <conditionalFormatting sqref="N20">
    <cfRule type="iconSet" priority="52">
      <iconSet iconSet="3Arrows">
        <cfvo type="percent" val="0"/>
        <cfvo type="formula" val="$O$20"/>
        <cfvo type="formula" val="$O$20"/>
      </iconSet>
    </cfRule>
  </conditionalFormatting>
  <conditionalFormatting sqref="N21">
    <cfRule type="iconSet" priority="51">
      <iconSet iconSet="3Arrows">
        <cfvo type="percent" val="0"/>
        <cfvo type="formula" val="$O$21"/>
        <cfvo type="formula" val="$O$21"/>
      </iconSet>
    </cfRule>
  </conditionalFormatting>
  <conditionalFormatting sqref="N22">
    <cfRule type="iconSet" priority="50">
      <iconSet iconSet="3Arrows">
        <cfvo type="percent" val="0"/>
        <cfvo type="formula" val="$O$22"/>
        <cfvo type="formula" val="$O$22"/>
      </iconSet>
    </cfRule>
  </conditionalFormatting>
  <conditionalFormatting sqref="N23">
    <cfRule type="iconSet" priority="49">
      <iconSet iconSet="3Arrows">
        <cfvo type="percent" val="0"/>
        <cfvo type="formula" val="$O$23"/>
        <cfvo type="formula" val="$O$23"/>
      </iconSet>
    </cfRule>
  </conditionalFormatting>
  <conditionalFormatting sqref="N24">
    <cfRule type="iconSet" priority="48">
      <iconSet iconSet="3Arrows">
        <cfvo type="percent" val="0"/>
        <cfvo type="formula" val="$O$24"/>
        <cfvo type="formula" val="$O$24"/>
      </iconSet>
    </cfRule>
  </conditionalFormatting>
  <conditionalFormatting sqref="N25">
    <cfRule type="iconSet" priority="47">
      <iconSet iconSet="3Arrows">
        <cfvo type="percent" val="0"/>
        <cfvo type="formula" val="$O$25"/>
        <cfvo type="formula" val="$O$25"/>
      </iconSet>
    </cfRule>
  </conditionalFormatting>
  <conditionalFormatting sqref="N29">
    <cfRule type="iconSet" priority="46">
      <iconSet iconSet="3Arrows">
        <cfvo type="percent" val="0"/>
        <cfvo type="formula" val="$O$29"/>
        <cfvo type="formula" val="$O$29"/>
      </iconSet>
    </cfRule>
  </conditionalFormatting>
  <conditionalFormatting sqref="G67:H77">
    <cfRule type="cellIs" dxfId="57" priority="43" operator="lessThan">
      <formula>0.9</formula>
    </cfRule>
  </conditionalFormatting>
  <conditionalFormatting sqref="G67:H77">
    <cfRule type="cellIs" dxfId="56" priority="42" operator="between">
      <formula>0.9</formula>
      <formula>1</formula>
    </cfRule>
  </conditionalFormatting>
  <conditionalFormatting sqref="G67:H77">
    <cfRule type="cellIs" dxfId="55" priority="41" operator="greaterThanOrEqual">
      <formula>1</formula>
    </cfRule>
  </conditionalFormatting>
  <conditionalFormatting sqref="G80:G90">
    <cfRule type="dataBar" priority="44">
      <dataBar>
        <cfvo type="min"/>
        <cfvo type="max"/>
        <color rgb="FF92D050"/>
      </dataBar>
      <extLst>
        <ext xmlns:x14="http://schemas.microsoft.com/office/spreadsheetml/2009/9/main" uri="{B025F937-C7B1-47D3-B67F-A62EFF666E3E}">
          <x14:id>{ABA9F041-1EDA-4775-B33D-140DFA2B16B9}</x14:id>
        </ext>
      </extLst>
    </cfRule>
    <cfRule type="iconSet" priority="45">
      <iconSet iconSet="3Arrows">
        <cfvo type="percent" val="0"/>
        <cfvo type="num" val="0"/>
        <cfvo type="num" val="0" gte="0"/>
      </iconSet>
    </cfRule>
  </conditionalFormatting>
  <conditionalFormatting sqref="G97:H106">
    <cfRule type="cellIs" dxfId="54" priority="38" operator="lessThan">
      <formula>0.9</formula>
    </cfRule>
  </conditionalFormatting>
  <conditionalFormatting sqref="G97:H106">
    <cfRule type="cellIs" dxfId="53" priority="37" operator="between">
      <formula>0.9</formula>
      <formula>1</formula>
    </cfRule>
  </conditionalFormatting>
  <conditionalFormatting sqref="G97:H106">
    <cfRule type="cellIs" dxfId="52" priority="36" operator="greaterThanOrEqual">
      <formula>1</formula>
    </cfRule>
  </conditionalFormatting>
  <conditionalFormatting sqref="G109:G118">
    <cfRule type="dataBar" priority="39">
      <dataBar>
        <cfvo type="min"/>
        <cfvo type="max"/>
        <color rgb="FF92D050"/>
      </dataBar>
      <extLst>
        <ext xmlns:x14="http://schemas.microsoft.com/office/spreadsheetml/2009/9/main" uri="{B025F937-C7B1-47D3-B67F-A62EFF666E3E}">
          <x14:id>{C9CE83CC-F651-4FE2-9067-AABF49862CFA}</x14:id>
        </ext>
      </extLst>
    </cfRule>
    <cfRule type="iconSet" priority="40">
      <iconSet iconSet="3Arrows">
        <cfvo type="percent" val="0"/>
        <cfvo type="num" val="0"/>
        <cfvo type="num" val="0" gte="0"/>
      </iconSet>
    </cfRule>
  </conditionalFormatting>
  <conditionalFormatting sqref="G125:H137">
    <cfRule type="cellIs" dxfId="51" priority="33" operator="lessThan">
      <formula>0.9</formula>
    </cfRule>
  </conditionalFormatting>
  <conditionalFormatting sqref="G125:H137">
    <cfRule type="cellIs" dxfId="50" priority="32" operator="between">
      <formula>0.9</formula>
      <formula>1</formula>
    </cfRule>
  </conditionalFormatting>
  <conditionalFormatting sqref="G125:H137">
    <cfRule type="cellIs" dxfId="49" priority="31" operator="greaterThanOrEqual">
      <formula>1</formula>
    </cfRule>
  </conditionalFormatting>
  <conditionalFormatting sqref="G140:G152">
    <cfRule type="dataBar" priority="34">
      <dataBar>
        <cfvo type="min"/>
        <cfvo type="max"/>
        <color rgb="FF92D050"/>
      </dataBar>
      <extLst>
        <ext xmlns:x14="http://schemas.microsoft.com/office/spreadsheetml/2009/9/main" uri="{B025F937-C7B1-47D3-B67F-A62EFF666E3E}">
          <x14:id>{8127B2FF-D0D5-4119-9F6D-D999E8ADC341}</x14:id>
        </ext>
      </extLst>
    </cfRule>
    <cfRule type="iconSet" priority="35">
      <iconSet iconSet="3Arrows">
        <cfvo type="percent" val="0"/>
        <cfvo type="num" val="0"/>
        <cfvo type="num" val="0" gte="0"/>
      </iconSet>
    </cfRule>
  </conditionalFormatting>
  <conditionalFormatting sqref="G158:H170">
    <cfRule type="cellIs" dxfId="35" priority="28" operator="lessThan">
      <formula>0.9</formula>
    </cfRule>
  </conditionalFormatting>
  <conditionalFormatting sqref="G158:H170">
    <cfRule type="cellIs" dxfId="33" priority="27" operator="between">
      <formula>0.9</formula>
      <formula>1</formula>
    </cfRule>
  </conditionalFormatting>
  <conditionalFormatting sqref="G158:H170">
    <cfRule type="cellIs" dxfId="31" priority="26" operator="greaterThanOrEqual">
      <formula>1</formula>
    </cfRule>
  </conditionalFormatting>
  <conditionalFormatting sqref="G173:G185">
    <cfRule type="dataBar" priority="29">
      <dataBar>
        <cfvo type="min"/>
        <cfvo type="max"/>
        <color rgb="FF92D050"/>
      </dataBar>
      <extLst>
        <ext xmlns:x14="http://schemas.microsoft.com/office/spreadsheetml/2009/9/main" uri="{B025F937-C7B1-47D3-B67F-A62EFF666E3E}">
          <x14:id>{6785DD28-B26F-487B-8E69-9F719A733F2F}</x14:id>
        </ext>
      </extLst>
    </cfRule>
    <cfRule type="iconSet" priority="30">
      <iconSet iconSet="3Arrows">
        <cfvo type="percent" val="0"/>
        <cfvo type="num" val="0"/>
        <cfvo type="num" val="0" gte="0"/>
      </iconSet>
    </cfRule>
  </conditionalFormatting>
  <conditionalFormatting sqref="G191:H203">
    <cfRule type="cellIs" dxfId="29" priority="23" operator="lessThan">
      <formula>0.9</formula>
    </cfRule>
  </conditionalFormatting>
  <conditionalFormatting sqref="G191:H203">
    <cfRule type="cellIs" dxfId="27" priority="22" operator="between">
      <formula>0.9</formula>
      <formula>1</formula>
    </cfRule>
  </conditionalFormatting>
  <conditionalFormatting sqref="G191:H203">
    <cfRule type="cellIs" dxfId="25" priority="21" operator="greaterThanOrEqual">
      <formula>1</formula>
    </cfRule>
  </conditionalFormatting>
  <conditionalFormatting sqref="G206:G218">
    <cfRule type="dataBar" priority="24">
      <dataBar>
        <cfvo type="min"/>
        <cfvo type="max"/>
        <color rgb="FF92D050"/>
      </dataBar>
      <extLst>
        <ext xmlns:x14="http://schemas.microsoft.com/office/spreadsheetml/2009/9/main" uri="{B025F937-C7B1-47D3-B67F-A62EFF666E3E}">
          <x14:id>{F85FC7A3-628B-4718-AC93-7BAD81B75C9E}</x14:id>
        </ext>
      </extLst>
    </cfRule>
    <cfRule type="iconSet" priority="25">
      <iconSet iconSet="3Arrows">
        <cfvo type="percent" val="0"/>
        <cfvo type="num" val="0"/>
        <cfvo type="num" val="0" gte="0"/>
      </iconSet>
    </cfRule>
  </conditionalFormatting>
  <conditionalFormatting sqref="G224:H236">
    <cfRule type="cellIs" dxfId="23" priority="18" operator="lessThan">
      <formula>0.9</formula>
    </cfRule>
  </conditionalFormatting>
  <conditionalFormatting sqref="G224:H236">
    <cfRule type="cellIs" dxfId="21" priority="17" operator="between">
      <formula>0.9</formula>
      <formula>1</formula>
    </cfRule>
  </conditionalFormatting>
  <conditionalFormatting sqref="G224:H236">
    <cfRule type="cellIs" dxfId="19" priority="16" operator="greaterThanOrEqual">
      <formula>1</formula>
    </cfRule>
  </conditionalFormatting>
  <conditionalFormatting sqref="G239:G251">
    <cfRule type="dataBar" priority="19">
      <dataBar>
        <cfvo type="min"/>
        <cfvo type="max"/>
        <color rgb="FF92D050"/>
      </dataBar>
      <extLst>
        <ext xmlns:x14="http://schemas.microsoft.com/office/spreadsheetml/2009/9/main" uri="{B025F937-C7B1-47D3-B67F-A62EFF666E3E}">
          <x14:id>{2D4160DC-CE82-4ADE-AAE6-A94891B4A80A}</x14:id>
        </ext>
      </extLst>
    </cfRule>
    <cfRule type="iconSet" priority="20">
      <iconSet iconSet="3Arrows">
        <cfvo type="percent" val="0"/>
        <cfvo type="num" val="0"/>
        <cfvo type="num" val="0" gte="0"/>
      </iconSet>
    </cfRule>
  </conditionalFormatting>
  <conditionalFormatting sqref="G258:H270">
    <cfRule type="cellIs" dxfId="17" priority="13" operator="lessThan">
      <formula>0.9</formula>
    </cfRule>
  </conditionalFormatting>
  <conditionalFormatting sqref="G258:H270">
    <cfRule type="cellIs" dxfId="15" priority="12" operator="between">
      <formula>0.9</formula>
      <formula>1</formula>
    </cfRule>
  </conditionalFormatting>
  <conditionalFormatting sqref="G258:H270">
    <cfRule type="cellIs" dxfId="13" priority="11" operator="greaterThanOrEqual">
      <formula>1</formula>
    </cfRule>
  </conditionalFormatting>
  <conditionalFormatting sqref="G273:G285">
    <cfRule type="dataBar" priority="14">
      <dataBar>
        <cfvo type="min"/>
        <cfvo type="max"/>
        <color rgb="FF92D050"/>
      </dataBar>
      <extLst>
        <ext xmlns:x14="http://schemas.microsoft.com/office/spreadsheetml/2009/9/main" uri="{B025F937-C7B1-47D3-B67F-A62EFF666E3E}">
          <x14:id>{B150C3A9-8517-48F6-B924-DEF4A2157FC6}</x14:id>
        </ext>
      </extLst>
    </cfRule>
    <cfRule type="iconSet" priority="15">
      <iconSet iconSet="3Arrows">
        <cfvo type="percent" val="0"/>
        <cfvo type="num" val="0"/>
        <cfvo type="num" val="0" gte="0"/>
      </iconSet>
    </cfRule>
  </conditionalFormatting>
  <conditionalFormatting sqref="G291:H303">
    <cfRule type="cellIs" dxfId="11" priority="8" operator="lessThan">
      <formula>0.9</formula>
    </cfRule>
  </conditionalFormatting>
  <conditionalFormatting sqref="G291:H303">
    <cfRule type="cellIs" dxfId="9" priority="7" operator="between">
      <formula>0.9</formula>
      <formula>1</formula>
    </cfRule>
  </conditionalFormatting>
  <conditionalFormatting sqref="G291:H303">
    <cfRule type="cellIs" dxfId="7" priority="6" operator="greaterThanOrEqual">
      <formula>1</formula>
    </cfRule>
  </conditionalFormatting>
  <conditionalFormatting sqref="G306:G318">
    <cfRule type="dataBar" priority="9">
      <dataBar>
        <cfvo type="min"/>
        <cfvo type="max"/>
        <color rgb="FF92D050"/>
      </dataBar>
      <extLst>
        <ext xmlns:x14="http://schemas.microsoft.com/office/spreadsheetml/2009/9/main" uri="{B025F937-C7B1-47D3-B67F-A62EFF666E3E}">
          <x14:id>{156F7262-29E9-4C3D-9958-0EE5A544056A}</x14:id>
        </ext>
      </extLst>
    </cfRule>
    <cfRule type="iconSet" priority="10">
      <iconSet iconSet="3Arrows">
        <cfvo type="percent" val="0"/>
        <cfvo type="num" val="0"/>
        <cfvo type="num" val="0" gte="0"/>
      </iconSet>
    </cfRule>
  </conditionalFormatting>
  <conditionalFormatting sqref="G324:H336">
    <cfRule type="cellIs" dxfId="5" priority="3" operator="lessThan">
      <formula>0.9</formula>
    </cfRule>
  </conditionalFormatting>
  <conditionalFormatting sqref="G324:H336">
    <cfRule type="cellIs" dxfId="3" priority="2" operator="between">
      <formula>0.9</formula>
      <formula>1</formula>
    </cfRule>
  </conditionalFormatting>
  <conditionalFormatting sqref="G324:H336">
    <cfRule type="cellIs" dxfId="1" priority="1" operator="greaterThanOrEqual">
      <formula>1</formula>
    </cfRule>
  </conditionalFormatting>
  <conditionalFormatting sqref="G339:G351">
    <cfRule type="dataBar" priority="4">
      <dataBar>
        <cfvo type="min"/>
        <cfvo type="max"/>
        <color rgb="FF92D050"/>
      </dataBar>
      <extLst>
        <ext xmlns:x14="http://schemas.microsoft.com/office/spreadsheetml/2009/9/main" uri="{B025F937-C7B1-47D3-B67F-A62EFF666E3E}">
          <x14:id>{F3F41F4C-DE5A-4D76-AE6B-0BFDC4EFDEC6}</x14:id>
        </ext>
      </extLst>
    </cfRule>
    <cfRule type="iconSet" priority="5">
      <iconSet iconSet="3Arrows">
        <cfvo type="percent" val="0"/>
        <cfvo type="num" val="0"/>
        <cfvo type="num" val="0" gte="0"/>
      </iconSet>
    </cfRule>
  </conditionalFormatting>
  <dataValidations count="2">
    <dataValidation type="list" allowBlank="1" showInputMessage="1" showErrorMessage="1" sqref="U3">
      <formula1>$AD$1:$AD$12</formula1>
    </dataValidation>
    <dataValidation type="list" allowBlank="1" showInputMessage="1" showErrorMessage="1" sqref="C9">
      <formula1>$AC$1:$AC$14</formula1>
    </dataValidation>
  </dataValidations>
  <pageMargins left="0.51181102362204722" right="0.51181102362204722" top="1.9685039370078741" bottom="0.15748031496062992" header="0" footer="0.11811023622047245"/>
  <pageSetup paperSize="9" orientation="portrait" horizontalDpi="1200" verticalDpi="1200" r:id="rId1"/>
  <headerFooter>
    <oddHeader>&amp;L&amp;G&amp;R&amp;"NissanAG-Bold,Normal"&amp;14&amp;K00-027
NISSAN AFTERSALES
&amp;"NissanAG-Bold,Gras"&amp;7&amp;KF62626__________________________________________</oddHeader>
  </headerFooter>
  <rowBreaks count="1" manualBreakCount="1">
    <brk id="47" max="16383" man="1"/>
  </rowBreaks>
  <legacyDrawingHF r:id="rId2"/>
  <tableParts count="3">
    <tablePart r:id="rId3"/>
    <tablePart r:id="rId4"/>
    <tablePart r:id="rId5"/>
  </tableParts>
  <extLst>
    <ext xmlns:x14="http://schemas.microsoft.com/office/spreadsheetml/2009/9/main" uri="{78C0D931-6437-407d-A8EE-F0AAD7539E65}">
      <x14:conditionalFormattings>
        <x14:conditionalFormatting xmlns:xm="http://schemas.microsoft.com/office/excel/2006/main">
          <x14:cfRule type="dataBar" id="{ABA9F041-1EDA-4775-B33D-140DFA2B16B9}">
            <x14:dataBar minLength="0" maxLength="100" gradient="0">
              <x14:cfvo type="autoMin"/>
              <x14:cfvo type="autoMax"/>
              <x14:negativeFillColor rgb="FFFF0000"/>
              <x14:axisColor rgb="FF000000"/>
            </x14:dataBar>
          </x14:cfRule>
          <xm:sqref>G80:G90</xm:sqref>
        </x14:conditionalFormatting>
        <x14:conditionalFormatting xmlns:xm="http://schemas.microsoft.com/office/excel/2006/main">
          <x14:cfRule type="dataBar" id="{C9CE83CC-F651-4FE2-9067-AABF49862CFA}">
            <x14:dataBar minLength="0" maxLength="100" gradient="0">
              <x14:cfvo type="autoMin"/>
              <x14:cfvo type="autoMax"/>
              <x14:negativeFillColor rgb="FFFF0000"/>
              <x14:axisColor rgb="FF000000"/>
            </x14:dataBar>
          </x14:cfRule>
          <xm:sqref>G109:G118</xm:sqref>
        </x14:conditionalFormatting>
        <x14:conditionalFormatting xmlns:xm="http://schemas.microsoft.com/office/excel/2006/main">
          <x14:cfRule type="dataBar" id="{8127B2FF-D0D5-4119-9F6D-D999E8ADC341}">
            <x14:dataBar minLength="0" maxLength="100" gradient="0">
              <x14:cfvo type="autoMin"/>
              <x14:cfvo type="autoMax"/>
              <x14:negativeFillColor rgb="FFFF0000"/>
              <x14:axisColor rgb="FF000000"/>
            </x14:dataBar>
          </x14:cfRule>
          <xm:sqref>G140:G152</xm:sqref>
        </x14:conditionalFormatting>
        <x14:conditionalFormatting xmlns:xm="http://schemas.microsoft.com/office/excel/2006/main">
          <x14:cfRule type="dataBar" id="{6785DD28-B26F-487B-8E69-9F719A733F2F}">
            <x14:dataBar minLength="0" maxLength="100" gradient="0">
              <x14:cfvo type="autoMin"/>
              <x14:cfvo type="autoMax"/>
              <x14:negativeFillColor rgb="FFFF0000"/>
              <x14:axisColor rgb="FF000000"/>
            </x14:dataBar>
          </x14:cfRule>
          <xm:sqref>G173:G185</xm:sqref>
        </x14:conditionalFormatting>
        <x14:conditionalFormatting xmlns:xm="http://schemas.microsoft.com/office/excel/2006/main">
          <x14:cfRule type="dataBar" id="{F85FC7A3-628B-4718-AC93-7BAD81B75C9E}">
            <x14:dataBar minLength="0" maxLength="100" gradient="0">
              <x14:cfvo type="autoMin"/>
              <x14:cfvo type="autoMax"/>
              <x14:negativeFillColor rgb="FFFF0000"/>
              <x14:axisColor rgb="FF000000"/>
            </x14:dataBar>
          </x14:cfRule>
          <xm:sqref>G206:G218</xm:sqref>
        </x14:conditionalFormatting>
        <x14:conditionalFormatting xmlns:xm="http://schemas.microsoft.com/office/excel/2006/main">
          <x14:cfRule type="dataBar" id="{2D4160DC-CE82-4ADE-AAE6-A94891B4A80A}">
            <x14:dataBar minLength="0" maxLength="100" gradient="0">
              <x14:cfvo type="autoMin"/>
              <x14:cfvo type="autoMax"/>
              <x14:negativeFillColor rgb="FFFF0000"/>
              <x14:axisColor rgb="FF000000"/>
            </x14:dataBar>
          </x14:cfRule>
          <xm:sqref>G239:G251</xm:sqref>
        </x14:conditionalFormatting>
        <x14:conditionalFormatting xmlns:xm="http://schemas.microsoft.com/office/excel/2006/main">
          <x14:cfRule type="dataBar" id="{B150C3A9-8517-48F6-B924-DEF4A2157FC6}">
            <x14:dataBar minLength="0" maxLength="100" gradient="0">
              <x14:cfvo type="autoMin"/>
              <x14:cfvo type="autoMax"/>
              <x14:negativeFillColor rgb="FFFF0000"/>
              <x14:axisColor rgb="FF000000"/>
            </x14:dataBar>
          </x14:cfRule>
          <xm:sqref>G273:G285</xm:sqref>
        </x14:conditionalFormatting>
        <x14:conditionalFormatting xmlns:xm="http://schemas.microsoft.com/office/excel/2006/main">
          <x14:cfRule type="dataBar" id="{156F7262-29E9-4C3D-9958-0EE5A544056A}">
            <x14:dataBar minLength="0" maxLength="100" gradient="0">
              <x14:cfvo type="autoMin"/>
              <x14:cfvo type="autoMax"/>
              <x14:negativeFillColor rgb="FFFF0000"/>
              <x14:axisColor rgb="FF000000"/>
            </x14:dataBar>
          </x14:cfRule>
          <xm:sqref>G306:G318</xm:sqref>
        </x14:conditionalFormatting>
        <x14:conditionalFormatting xmlns:xm="http://schemas.microsoft.com/office/excel/2006/main">
          <x14:cfRule type="dataBar" id="{F3F41F4C-DE5A-4D76-AE6B-0BFDC4EFDEC6}">
            <x14:dataBar minLength="0" maxLength="100" gradient="0">
              <x14:cfvo type="autoMin"/>
              <x14:cfvo type="autoMax"/>
              <x14:negativeFillColor rgb="FFFF0000"/>
              <x14:axisColor rgb="FF000000"/>
            </x14:dataBar>
          </x14:cfRule>
          <xm:sqref>G339:G351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G15"/>
  <sheetViews>
    <sheetView workbookViewId="0">
      <selection activeCell="F2" sqref="F2"/>
    </sheetView>
  </sheetViews>
  <sheetFormatPr baseColWidth="10" defaultRowHeight="12.75" x14ac:dyDescent="0.2"/>
  <cols>
    <col min="1" max="1" width="4" bestFit="1" customWidth="1"/>
    <col min="2" max="2" width="17.28515625" style="104" bestFit="1" customWidth="1"/>
    <col min="3" max="3" width="15.5703125" style="104" bestFit="1" customWidth="1"/>
    <col min="4" max="4" width="13.5703125" style="103" bestFit="1" customWidth="1"/>
    <col min="5" max="5" width="17.28515625" style="104" bestFit="1" customWidth="1"/>
  </cols>
  <sheetData>
    <row r="1" spans="1:7" x14ac:dyDescent="0.2">
      <c r="B1" s="104" t="s">
        <v>17</v>
      </c>
      <c r="C1" s="104" t="s">
        <v>6</v>
      </c>
      <c r="D1" s="103" t="s">
        <v>20</v>
      </c>
      <c r="E1" s="104" t="s">
        <v>21</v>
      </c>
      <c r="F1" s="329" t="s">
        <v>88</v>
      </c>
      <c r="G1" s="329" t="s">
        <v>64</v>
      </c>
    </row>
    <row r="2" spans="1:7" x14ac:dyDescent="0.2">
      <c r="A2">
        <v>19</v>
      </c>
      <c r="B2" s="102"/>
      <c r="C2" s="102"/>
      <c r="D2" s="105"/>
      <c r="E2" s="102"/>
      <c r="F2" s="235" t="s">
        <v>74</v>
      </c>
      <c r="G2" s="235" t="s">
        <v>59</v>
      </c>
    </row>
    <row r="3" spans="1:7" x14ac:dyDescent="0.2">
      <c r="A3">
        <v>32</v>
      </c>
      <c r="B3" s="102"/>
      <c r="C3" s="102"/>
      <c r="D3" s="105"/>
      <c r="E3" s="102"/>
      <c r="F3" s="235" t="s">
        <v>75</v>
      </c>
      <c r="G3" s="235" t="s">
        <v>59</v>
      </c>
    </row>
    <row r="4" spans="1:7" x14ac:dyDescent="0.2">
      <c r="A4">
        <v>40</v>
      </c>
      <c r="B4" s="102"/>
      <c r="C4" s="102"/>
      <c r="D4" s="105"/>
      <c r="E4" s="102"/>
      <c r="F4" s="235" t="s">
        <v>76</v>
      </c>
      <c r="G4" s="235" t="s">
        <v>59</v>
      </c>
    </row>
    <row r="5" spans="1:7" x14ac:dyDescent="0.2">
      <c r="A5">
        <v>85</v>
      </c>
      <c r="B5" s="102"/>
      <c r="C5" s="102"/>
      <c r="D5" s="105"/>
      <c r="E5" s="102"/>
      <c r="F5" s="235" t="s">
        <v>77</v>
      </c>
      <c r="G5" s="235" t="s">
        <v>59</v>
      </c>
    </row>
    <row r="6" spans="1:7" x14ac:dyDescent="0.2">
      <c r="A6">
        <v>263</v>
      </c>
      <c r="B6" s="102"/>
      <c r="C6" s="102"/>
      <c r="D6" s="105"/>
      <c r="E6" s="102"/>
      <c r="F6" s="235" t="s">
        <v>78</v>
      </c>
      <c r="G6" s="235" t="s">
        <v>59</v>
      </c>
    </row>
    <row r="7" spans="1:7" x14ac:dyDescent="0.2">
      <c r="A7">
        <v>305</v>
      </c>
      <c r="B7" s="102"/>
      <c r="C7" s="102"/>
      <c r="D7" s="105"/>
      <c r="E7" s="102"/>
      <c r="F7" s="235" t="s">
        <v>79</v>
      </c>
      <c r="G7" s="235" t="s">
        <v>59</v>
      </c>
    </row>
    <row r="8" spans="1:7" x14ac:dyDescent="0.2">
      <c r="A8">
        <v>453</v>
      </c>
      <c r="B8" s="102"/>
      <c r="C8" s="102"/>
      <c r="D8" s="105"/>
      <c r="E8" s="102"/>
      <c r="F8" s="235" t="s">
        <v>80</v>
      </c>
      <c r="G8" s="235" t="s">
        <v>59</v>
      </c>
    </row>
    <row r="9" spans="1:7" x14ac:dyDescent="0.2">
      <c r="A9">
        <v>459</v>
      </c>
      <c r="B9" s="102"/>
      <c r="C9" s="102"/>
      <c r="D9" s="105"/>
      <c r="E9" s="102"/>
      <c r="F9" s="235" t="s">
        <v>81</v>
      </c>
      <c r="G9" s="235" t="s">
        <v>58</v>
      </c>
    </row>
    <row r="10" spans="1:7" x14ac:dyDescent="0.2">
      <c r="A10">
        <v>487</v>
      </c>
      <c r="B10" s="102"/>
      <c r="C10" s="102"/>
      <c r="D10" s="105"/>
      <c r="E10" s="102"/>
      <c r="F10" s="235" t="s">
        <v>82</v>
      </c>
      <c r="G10" s="235" t="s">
        <v>58</v>
      </c>
    </row>
    <row r="11" spans="1:7" x14ac:dyDescent="0.2">
      <c r="A11">
        <v>497</v>
      </c>
      <c r="B11" s="102"/>
      <c r="C11" s="102"/>
      <c r="D11" s="105"/>
      <c r="E11" s="102"/>
      <c r="F11" s="235" t="s">
        <v>83</v>
      </c>
      <c r="G11" s="235" t="s">
        <v>58</v>
      </c>
    </row>
    <row r="12" spans="1:7" x14ac:dyDescent="0.2">
      <c r="A12">
        <v>499</v>
      </c>
      <c r="B12" s="102"/>
      <c r="C12" s="102"/>
      <c r="D12" s="105"/>
      <c r="E12" s="102"/>
      <c r="F12" s="235" t="s">
        <v>84</v>
      </c>
      <c r="G12" s="235" t="s">
        <v>59</v>
      </c>
    </row>
    <row r="13" spans="1:7" x14ac:dyDescent="0.2">
      <c r="A13">
        <v>541</v>
      </c>
      <c r="B13" s="102"/>
      <c r="C13" s="102"/>
      <c r="D13" s="105"/>
      <c r="E13" s="102"/>
      <c r="F13" s="235" t="s">
        <v>85</v>
      </c>
      <c r="G13" s="235" t="s">
        <v>59</v>
      </c>
    </row>
    <row r="14" spans="1:7" x14ac:dyDescent="0.2">
      <c r="A14">
        <v>629</v>
      </c>
      <c r="B14" s="102"/>
      <c r="C14" s="102"/>
      <c r="D14" s="105"/>
      <c r="E14" s="102"/>
      <c r="F14" s="235" t="s">
        <v>86</v>
      </c>
      <c r="G14" s="235" t="s">
        <v>58</v>
      </c>
    </row>
    <row r="15" spans="1:7" x14ac:dyDescent="0.2">
      <c r="A15">
        <v>712</v>
      </c>
      <c r="B15" s="102"/>
      <c r="C15" s="102"/>
      <c r="D15" s="105"/>
      <c r="E15" s="102"/>
      <c r="F15" s="235" t="s">
        <v>87</v>
      </c>
      <c r="G15" s="235"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5</vt:i4>
      </vt:variant>
    </vt:vector>
  </HeadingPairs>
  <TitlesOfParts>
    <vt:vector size="9" baseType="lpstr">
      <vt:lpstr>TDB F+D</vt:lpstr>
      <vt:lpstr>Tableau de bord direkt HDL</vt:lpstr>
      <vt:lpstr>Niiiiice</vt:lpstr>
      <vt:lpstr>RL Ziele</vt:lpstr>
      <vt:lpstr>'Tableau de bord direkt HDL'!Zone_d_impression</vt:lpstr>
      <vt:lpstr>'TDB F+D'!Zone_d_impression</vt:lpstr>
      <vt:lpstr>Zone19</vt:lpstr>
      <vt:lpstr>Zone32</vt:lpstr>
      <vt:lpstr>Zone40</vt:lpstr>
    </vt:vector>
  </TitlesOfParts>
  <Company>RENAULT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as00042</dc:creator>
  <cp:lastModifiedBy>Patrice Reine</cp:lastModifiedBy>
  <cp:lastPrinted>2013-05-21T13:56:54Z</cp:lastPrinted>
  <dcterms:created xsi:type="dcterms:W3CDTF">2012-04-10T13:22:09Z</dcterms:created>
  <dcterms:modified xsi:type="dcterms:W3CDTF">2013-05-22T14:32:51Z</dcterms:modified>
</cp:coreProperties>
</file>