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sharedStrings.xml" ContentType="application/vnd.openxmlformats-officedocument.spreadsheetml.sharedStrings+xml"/>
  <Default Extension="xml" ContentType="application/xml"/>
  <Override PartName="/xl/workbook.xml" ContentType="application/vnd.openxmlformats-officedocument.spreadsheetml.sheet.main+xml"/>
  <Default Extension="rels" ContentType="application/vnd.openxmlformats-package.relationships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2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checkCompatibility="1" autoCompressPictures="0"/>
  <bookViews>
    <workbookView xWindow="-20" yWindow="-20" windowWidth="25080" windowHeight="22120" activeTab="2"/>
  </bookViews>
  <sheets>
    <sheet name="Postes" sheetId="2" r:id="rId1"/>
    <sheet name="Noms" sheetId="4" r:id="rId2"/>
    <sheet name="Planning" sheetId="1" r:id="rId3"/>
  </sheets>
  <externalReferences>
    <externalReference r:id="rId4"/>
  </externalReferences>
  <definedNames>
    <definedName name="_xlnm._FilterDatabase" localSheetId="1" hidden="1">Noms!$A$1:$B$7</definedName>
    <definedName name="Apresmidi">Planning!$L$6</definedName>
    <definedName name="ceMatin">OFFSET(Matin,8*INT((ROW()-ROW(Matin))/8),0,7,6)</definedName>
    <definedName name="cetAM">OFFSET(Apresmidi,8*INT((ROW()-ROW(Apresmidi))/8),0,7,6)</definedName>
    <definedName name="colP">Planning!$R$6</definedName>
    <definedName name="colR">Planning!$T$6</definedName>
    <definedName name="date">[1]Feuil2!$A$1:$A$198</definedName>
    <definedName name="macolP">OFFSET(colP,8*INT((ROW()-ROW(colP))/8),0)</definedName>
    <definedName name="macolR">OFFSET(colR,8*INT((ROW()-ROW(colR))/8),0)</definedName>
    <definedName name="Matin">Planning!$D$6</definedName>
  </definedNames>
  <calcPr calcId="125725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T36" i="1"/>
  <c r="S39"/>
  <c r="S31"/>
  <c r="S23"/>
  <c r="S55"/>
  <c r="S47"/>
  <c r="S15"/>
  <c r="T60"/>
  <c r="S60"/>
  <c r="O60"/>
  <c r="N60"/>
  <c r="M60"/>
  <c r="L60"/>
  <c r="J60"/>
  <c r="I60"/>
  <c r="E60"/>
  <c r="D60"/>
  <c r="O59"/>
  <c r="N59"/>
  <c r="M59"/>
  <c r="L59"/>
  <c r="J59"/>
  <c r="I59"/>
  <c r="E59"/>
  <c r="D59"/>
  <c r="O58"/>
  <c r="N58"/>
  <c r="M58"/>
  <c r="L58"/>
  <c r="J58"/>
  <c r="I58"/>
  <c r="E58"/>
  <c r="D58"/>
  <c r="O57"/>
  <c r="N57"/>
  <c r="M57"/>
  <c r="L57"/>
  <c r="J57"/>
  <c r="I57"/>
  <c r="E57"/>
  <c r="D57"/>
  <c r="O56"/>
  <c r="N56"/>
  <c r="M56"/>
  <c r="L56"/>
  <c r="J56"/>
  <c r="I56"/>
  <c r="E56"/>
  <c r="D56"/>
  <c r="O55"/>
  <c r="N55"/>
  <c r="M55"/>
  <c r="L55"/>
  <c r="J55"/>
  <c r="I55"/>
  <c r="E55"/>
  <c r="D55"/>
  <c r="O54"/>
  <c r="N54"/>
  <c r="M54"/>
  <c r="L54"/>
  <c r="J54"/>
  <c r="I54"/>
  <c r="E54"/>
  <c r="D54"/>
  <c r="A54"/>
  <c r="T52"/>
  <c r="S52"/>
  <c r="O52"/>
  <c r="N52"/>
  <c r="M52"/>
  <c r="L52"/>
  <c r="J52"/>
  <c r="I52"/>
  <c r="E52"/>
  <c r="D52"/>
  <c r="O51"/>
  <c r="N51"/>
  <c r="M51"/>
  <c r="L51"/>
  <c r="J51"/>
  <c r="I51"/>
  <c r="E51"/>
  <c r="D51"/>
  <c r="O50"/>
  <c r="N50"/>
  <c r="M50"/>
  <c r="L50"/>
  <c r="J50"/>
  <c r="I50"/>
  <c r="E50"/>
  <c r="D50"/>
  <c r="O49"/>
  <c r="N49"/>
  <c r="M49"/>
  <c r="L49"/>
  <c r="J49"/>
  <c r="I49"/>
  <c r="E49"/>
  <c r="D49"/>
  <c r="O48"/>
  <c r="N48"/>
  <c r="M48"/>
  <c r="L48"/>
  <c r="J48"/>
  <c r="I48"/>
  <c r="E48"/>
  <c r="D48"/>
  <c r="O47"/>
  <c r="N47"/>
  <c r="M47"/>
  <c r="L47"/>
  <c r="J47"/>
  <c r="I47"/>
  <c r="E47"/>
  <c r="D47"/>
  <c r="O46"/>
  <c r="N46"/>
  <c r="M46"/>
  <c r="L46"/>
  <c r="J46"/>
  <c r="I46"/>
  <c r="E46"/>
  <c r="D46"/>
  <c r="A46"/>
  <c r="T44"/>
  <c r="S44"/>
  <c r="O44"/>
  <c r="N44"/>
  <c r="M44"/>
  <c r="L44"/>
  <c r="J44"/>
  <c r="I44"/>
  <c r="E44"/>
  <c r="D44"/>
  <c r="O43"/>
  <c r="N43"/>
  <c r="M43"/>
  <c r="L43"/>
  <c r="J43"/>
  <c r="I43"/>
  <c r="E43"/>
  <c r="D43"/>
  <c r="O42"/>
  <c r="N42"/>
  <c r="M42"/>
  <c r="L42"/>
  <c r="J42"/>
  <c r="I42"/>
  <c r="E42"/>
  <c r="D42"/>
  <c r="O41"/>
  <c r="N41"/>
  <c r="M41"/>
  <c r="L41"/>
  <c r="J41"/>
  <c r="I41"/>
  <c r="E41"/>
  <c r="D41"/>
  <c r="O40"/>
  <c r="N40"/>
  <c r="L40"/>
  <c r="J40"/>
  <c r="I40"/>
  <c r="E40"/>
  <c r="D40"/>
  <c r="O39"/>
  <c r="N39"/>
  <c r="M39"/>
  <c r="L39"/>
  <c r="J39"/>
  <c r="I39"/>
  <c r="E39"/>
  <c r="D39"/>
  <c r="O38"/>
  <c r="N38"/>
  <c r="M38"/>
  <c r="L38"/>
  <c r="J38"/>
  <c r="I38"/>
  <c r="E38"/>
  <c r="D38"/>
  <c r="A38"/>
  <c r="S36"/>
  <c r="O36"/>
  <c r="N36"/>
  <c r="M36"/>
  <c r="L36"/>
  <c r="J36"/>
  <c r="I36"/>
  <c r="E36"/>
  <c r="D36"/>
  <c r="O35"/>
  <c r="N35"/>
  <c r="M35"/>
  <c r="L35"/>
  <c r="J35"/>
  <c r="I35"/>
  <c r="E35"/>
  <c r="D35"/>
  <c r="O34"/>
  <c r="N34"/>
  <c r="M34"/>
  <c r="L34"/>
  <c r="J34"/>
  <c r="I34"/>
  <c r="E34"/>
  <c r="D34"/>
  <c r="O33"/>
  <c r="N33"/>
  <c r="M33"/>
  <c r="L33"/>
  <c r="J33"/>
  <c r="I33"/>
  <c r="E33"/>
  <c r="D33"/>
  <c r="O32"/>
  <c r="N32"/>
  <c r="M32"/>
  <c r="L32"/>
  <c r="J32"/>
  <c r="I32"/>
  <c r="E32"/>
  <c r="D32"/>
  <c r="O31"/>
  <c r="N31"/>
  <c r="M31"/>
  <c r="L31"/>
  <c r="J31"/>
  <c r="I31"/>
  <c r="E31"/>
  <c r="D31"/>
  <c r="O30"/>
  <c r="N30"/>
  <c r="M30"/>
  <c r="L30"/>
  <c r="J30"/>
  <c r="I30"/>
  <c r="E30"/>
  <c r="D30"/>
  <c r="A30"/>
  <c r="T28"/>
  <c r="S28"/>
  <c r="O28"/>
  <c r="N28"/>
  <c r="M28"/>
  <c r="L28"/>
  <c r="J28"/>
  <c r="I28"/>
  <c r="E28"/>
  <c r="D28"/>
  <c r="O27"/>
  <c r="N27"/>
  <c r="M27"/>
  <c r="L27"/>
  <c r="J27"/>
  <c r="I27"/>
  <c r="E27"/>
  <c r="D27"/>
  <c r="O26"/>
  <c r="N26"/>
  <c r="M26"/>
  <c r="L26"/>
  <c r="J26"/>
  <c r="I26"/>
  <c r="E26"/>
  <c r="D26"/>
  <c r="O25"/>
  <c r="N25"/>
  <c r="M25"/>
  <c r="L25"/>
  <c r="J25"/>
  <c r="I25"/>
  <c r="E25"/>
  <c r="D25"/>
  <c r="O24"/>
  <c r="N24"/>
  <c r="M24"/>
  <c r="L24"/>
  <c r="J24"/>
  <c r="I24"/>
  <c r="E24"/>
  <c r="D24"/>
  <c r="O23"/>
  <c r="N23"/>
  <c r="M23"/>
  <c r="L23"/>
  <c r="J23"/>
  <c r="I23"/>
  <c r="E23"/>
  <c r="D23"/>
  <c r="O22"/>
  <c r="N22"/>
  <c r="M22"/>
  <c r="L22"/>
  <c r="J22"/>
  <c r="I22"/>
  <c r="E22"/>
  <c r="D22"/>
  <c r="A22"/>
  <c r="T20"/>
  <c r="S20"/>
  <c r="O20"/>
  <c r="N20"/>
  <c r="M20"/>
  <c r="L20"/>
  <c r="J20"/>
  <c r="I20"/>
  <c r="E20"/>
  <c r="D20"/>
  <c r="O19"/>
  <c r="N19"/>
  <c r="M19"/>
  <c r="L19"/>
  <c r="J19"/>
  <c r="I19"/>
  <c r="E19"/>
  <c r="D19"/>
  <c r="O18"/>
  <c r="N18"/>
  <c r="M18"/>
  <c r="L18"/>
  <c r="J18"/>
  <c r="I18"/>
  <c r="E18"/>
  <c r="D18"/>
  <c r="O17"/>
  <c r="N17"/>
  <c r="M17"/>
  <c r="L17"/>
  <c r="J17"/>
  <c r="I17"/>
  <c r="E17"/>
  <c r="D17"/>
  <c r="O16"/>
  <c r="N16"/>
  <c r="M16"/>
  <c r="L16"/>
  <c r="J16"/>
  <c r="I16"/>
  <c r="E16"/>
  <c r="D16"/>
  <c r="O15"/>
  <c r="N15"/>
  <c r="M15"/>
  <c r="L15"/>
  <c r="J15"/>
  <c r="I15"/>
  <c r="E15"/>
  <c r="D15"/>
  <c r="O14"/>
  <c r="N14"/>
  <c r="M14"/>
  <c r="L14"/>
  <c r="J14"/>
  <c r="I14"/>
  <c r="E14"/>
  <c r="D14"/>
  <c r="A14"/>
  <c r="T12"/>
  <c r="S12"/>
  <c r="O12"/>
  <c r="N12"/>
  <c r="M12"/>
  <c r="L12"/>
  <c r="J12"/>
  <c r="E12"/>
  <c r="D12"/>
  <c r="O11"/>
  <c r="N11"/>
  <c r="M11"/>
  <c r="L11"/>
  <c r="J11"/>
  <c r="I11"/>
  <c r="E11"/>
  <c r="D11"/>
  <c r="O10"/>
  <c r="N10"/>
  <c r="M10"/>
  <c r="L10"/>
  <c r="J10"/>
  <c r="I10"/>
  <c r="E10"/>
  <c r="D10"/>
  <c r="O9"/>
  <c r="N9"/>
  <c r="M9"/>
  <c r="L9"/>
  <c r="J9"/>
  <c r="I9"/>
  <c r="E9"/>
  <c r="D9"/>
  <c r="O8"/>
  <c r="N8"/>
  <c r="M8"/>
  <c r="L8"/>
  <c r="J8"/>
  <c r="I8"/>
  <c r="E8"/>
  <c r="D8"/>
  <c r="S7"/>
  <c r="O7"/>
  <c r="N7"/>
  <c r="M7"/>
  <c r="L7"/>
  <c r="J7"/>
  <c r="I7"/>
  <c r="E7"/>
  <c r="D7"/>
  <c r="O6"/>
  <c r="N6"/>
  <c r="M6"/>
  <c r="L6"/>
  <c r="J6"/>
  <c r="I6"/>
  <c r="E6"/>
  <c r="D6"/>
  <c r="A6"/>
  <c r="J2"/>
</calcChain>
</file>

<file path=xl/sharedStrings.xml><?xml version="1.0" encoding="utf-8"?>
<sst xmlns="http://schemas.openxmlformats.org/spreadsheetml/2006/main" count="216" uniqueCount="113">
  <si>
    <t>TF</t>
    <phoneticPr fontId="13" type="noConversion"/>
  </si>
  <si>
    <t>T</t>
    <phoneticPr fontId="13" type="noConversion"/>
  </si>
  <si>
    <t>F</t>
    <phoneticPr fontId="13" type="noConversion"/>
  </si>
  <si>
    <t>13h30-14h</t>
    <phoneticPr fontId="13" type="noConversion"/>
  </si>
  <si>
    <t>12h30-13h30</t>
    <phoneticPr fontId="13" type="noConversion"/>
  </si>
  <si>
    <t>-</t>
    <phoneticPr fontId="13" type="noConversion"/>
  </si>
  <si>
    <t>-</t>
    <phoneticPr fontId="13" type="noConversion"/>
  </si>
  <si>
    <t>-</t>
    <phoneticPr fontId="13" type="noConversion"/>
  </si>
  <si>
    <t>-</t>
    <phoneticPr fontId="13" type="noConversion"/>
  </si>
  <si>
    <t>V</t>
    <phoneticPr fontId="13" type="noConversion"/>
  </si>
  <si>
    <t>-</t>
    <phoneticPr fontId="13" type="noConversion"/>
  </si>
  <si>
    <t>-</t>
    <phoneticPr fontId="13" type="noConversion"/>
  </si>
  <si>
    <t>W</t>
    <phoneticPr fontId="13" type="noConversion"/>
  </si>
  <si>
    <t>*</t>
    <phoneticPr fontId="13" type="noConversion"/>
  </si>
  <si>
    <t>*</t>
    <phoneticPr fontId="13" type="noConversion"/>
  </si>
  <si>
    <t>12h-12h30</t>
    <phoneticPr fontId="13" type="noConversion"/>
  </si>
  <si>
    <t>V</t>
    <phoneticPr fontId="13" type="noConversion"/>
  </si>
  <si>
    <t>W</t>
    <phoneticPr fontId="13" type="noConversion"/>
  </si>
  <si>
    <t>T</t>
    <phoneticPr fontId="13" type="noConversion"/>
  </si>
  <si>
    <t>A</t>
    <phoneticPr fontId="13" type="noConversion"/>
  </si>
  <si>
    <t>C</t>
    <phoneticPr fontId="13" type="noConversion"/>
  </si>
  <si>
    <t>FL</t>
    <phoneticPr fontId="13" type="noConversion"/>
  </si>
  <si>
    <t>FL</t>
    <phoneticPr fontId="13" type="noConversion"/>
  </si>
  <si>
    <t>FL</t>
    <phoneticPr fontId="13" type="noConversion"/>
  </si>
  <si>
    <t>MATIN</t>
  </si>
  <si>
    <t>APRÈS-MIDI</t>
  </si>
  <si>
    <t>Matin</t>
  </si>
  <si>
    <t>LST</t>
  </si>
  <si>
    <t>CAI</t>
  </si>
  <si>
    <t>BAR</t>
  </si>
  <si>
    <t>au</t>
  </si>
  <si>
    <t xml:space="preserve">   PLANNING  Semaine du </t>
  </si>
  <si>
    <t xml:space="preserve">Lundi </t>
  </si>
  <si>
    <t>Mardi</t>
  </si>
  <si>
    <t>Mercredi</t>
  </si>
  <si>
    <t>Jeudi</t>
  </si>
  <si>
    <t>Vendredi</t>
  </si>
  <si>
    <t>Samedi</t>
  </si>
  <si>
    <t>Dimanche</t>
  </si>
  <si>
    <t>Parc-Anx</t>
  </si>
  <si>
    <t>ANX</t>
  </si>
  <si>
    <t>LOU</t>
  </si>
  <si>
    <t>Loutres</t>
  </si>
  <si>
    <t>Liste</t>
  </si>
  <si>
    <t>ENT2</t>
  </si>
  <si>
    <t>Entretien2</t>
  </si>
  <si>
    <t>Caisse</t>
  </si>
  <si>
    <t>Bar-Mag</t>
  </si>
  <si>
    <t>ENT</t>
  </si>
  <si>
    <t>Entretien</t>
  </si>
  <si>
    <t>SPE</t>
  </si>
  <si>
    <t>SPE 1</t>
  </si>
  <si>
    <t>ANX 2</t>
  </si>
  <si>
    <t>PAR</t>
  </si>
  <si>
    <t>POI</t>
  </si>
  <si>
    <t>POI 3</t>
  </si>
  <si>
    <t>POR</t>
  </si>
  <si>
    <t>Apresmidi</t>
  </si>
  <si>
    <t>=Planning!$I$6</t>
  </si>
  <si>
    <t>ceMatin</t>
  </si>
  <si>
    <t>=DECALER(Matin;8*ENT((LIGNE()-LIGNE(Matin))/8);0;7;6)</t>
  </si>
  <si>
    <t>cetAM</t>
  </si>
  <si>
    <t>=DECALER(Apresmidi;8*ENT((LIGNE()-LIGNE(Apresmidi))/8);0;7;6)</t>
  </si>
  <si>
    <t>colP</t>
  </si>
  <si>
    <t>=Planning!$P$6</t>
  </si>
  <si>
    <t>colR</t>
  </si>
  <si>
    <t>=Planning!$R$6</t>
  </si>
  <si>
    <t>macolP</t>
  </si>
  <si>
    <t>=DECALER(colP;8*ENT((LIGNE()-LIGNE(colP))/8);0)</t>
  </si>
  <si>
    <t>macolR</t>
  </si>
  <si>
    <t>=DECALER(colR;8*ENT((LIGNE()-LIGNE(colR))/8);0)</t>
  </si>
  <si>
    <t>maTable</t>
  </si>
  <si>
    <t>=Postes!$A$1:$B$20</t>
  </si>
  <si>
    <t>=Planning!$C$6</t>
  </si>
  <si>
    <t>NOM</t>
  </si>
  <si>
    <t>DEFINITION</t>
  </si>
  <si>
    <t>Jour</t>
  </si>
  <si>
    <t>PERM</t>
  </si>
  <si>
    <t>Binôme de Perm.</t>
  </si>
  <si>
    <t>Congé</t>
  </si>
  <si>
    <t>Stagiaires en cours :</t>
    <phoneticPr fontId="13" type="noConversion"/>
  </si>
  <si>
    <t>Cai</t>
    <phoneticPr fontId="13" type="noConversion"/>
  </si>
  <si>
    <t>12h30-14h</t>
  </si>
  <si>
    <t>REMPL</t>
  </si>
  <si>
    <t>12h-12h30</t>
  </si>
  <si>
    <t>Cai</t>
    <phoneticPr fontId="13" type="noConversion"/>
  </si>
  <si>
    <t>Bar</t>
    <phoneticPr fontId="13" type="noConversion"/>
  </si>
  <si>
    <t>Lou</t>
  </si>
  <si>
    <t>13h30-14h</t>
  </si>
  <si>
    <t>Perm</t>
  </si>
  <si>
    <t>H</t>
    <phoneticPr fontId="13" type="noConversion"/>
  </si>
  <si>
    <t>A</t>
    <phoneticPr fontId="13" type="noConversion"/>
  </si>
  <si>
    <t>AL</t>
    <phoneticPr fontId="13" type="noConversion"/>
  </si>
  <si>
    <t>T</t>
    <phoneticPr fontId="13" type="noConversion"/>
  </si>
  <si>
    <t>W</t>
    <phoneticPr fontId="13" type="noConversion"/>
  </si>
  <si>
    <t>H</t>
    <phoneticPr fontId="13" type="noConversion"/>
  </si>
  <si>
    <t>St1</t>
    <phoneticPr fontId="13" type="noConversion"/>
  </si>
  <si>
    <t>J</t>
    <phoneticPr fontId="13" type="noConversion"/>
  </si>
  <si>
    <t>V</t>
    <phoneticPr fontId="13" type="noConversion"/>
  </si>
  <si>
    <t>V</t>
    <phoneticPr fontId="13" type="noConversion"/>
  </si>
  <si>
    <t>AL</t>
    <phoneticPr fontId="13" type="noConversion"/>
  </si>
  <si>
    <t>M</t>
    <phoneticPr fontId="13" type="noConversion"/>
  </si>
  <si>
    <t>AL</t>
    <phoneticPr fontId="13" type="noConversion"/>
  </si>
  <si>
    <t>A</t>
    <phoneticPr fontId="13" type="noConversion"/>
  </si>
  <si>
    <t>C</t>
    <phoneticPr fontId="13" type="noConversion"/>
  </si>
  <si>
    <t>F</t>
    <phoneticPr fontId="13" type="noConversion"/>
  </si>
  <si>
    <t>F</t>
    <phoneticPr fontId="13" type="noConversion"/>
  </si>
  <si>
    <t>M</t>
    <phoneticPr fontId="13" type="noConversion"/>
  </si>
  <si>
    <t>J</t>
    <phoneticPr fontId="13" type="noConversion"/>
  </si>
  <si>
    <t>C</t>
    <phoneticPr fontId="13" type="noConversion"/>
  </si>
  <si>
    <t>T</t>
    <phoneticPr fontId="13" type="noConversion"/>
  </si>
  <si>
    <t>SP2</t>
    <phoneticPr fontId="13" type="noConversion"/>
  </si>
  <si>
    <t>*</t>
    <phoneticPr fontId="13" type="noConversion"/>
  </si>
</sst>
</file>

<file path=xl/styles.xml><?xml version="1.0" encoding="utf-8"?>
<styleSheet xmlns="http://schemas.openxmlformats.org/spreadsheetml/2006/main">
  <numFmts count="3">
    <numFmt numFmtId="164" formatCode="[$-40C]d\-mmm\-yyyy;@"/>
    <numFmt numFmtId="165" formatCode="d/m;@"/>
    <numFmt numFmtId="166" formatCode="[$-40C]d\-mmm\-yy;@"/>
  </numFmts>
  <fonts count="28">
    <font>
      <sz val="11"/>
      <color theme="1"/>
      <name val="Calibri"/>
      <family val="2"/>
      <scheme val="minor"/>
    </font>
    <font>
      <b/>
      <i/>
      <sz val="12"/>
      <name val="Arial Narrow"/>
      <family val="2"/>
    </font>
    <font>
      <sz val="12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b/>
      <sz val="12"/>
      <name val="Arial Narrow"/>
      <family val="2"/>
    </font>
    <font>
      <b/>
      <sz val="9"/>
      <color indexed="10"/>
      <name val="Arial Narrow"/>
      <family val="2"/>
    </font>
    <font>
      <sz val="10"/>
      <name val="Arial Narrow"/>
      <family val="2"/>
    </font>
    <font>
      <i/>
      <sz val="8"/>
      <name val="Arial Narrow"/>
      <family val="2"/>
    </font>
    <font>
      <sz val="14"/>
      <name val="Arial Narrow"/>
      <family val="2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8"/>
      <color theme="10"/>
      <name val="Calibri"/>
      <family val="2"/>
      <scheme val="minor"/>
    </font>
    <font>
      <sz val="8"/>
      <name val="Verdana"/>
    </font>
    <font>
      <sz val="10"/>
      <color indexed="63"/>
      <name val="Verdana"/>
      <family val="2"/>
    </font>
    <font>
      <i/>
      <sz val="9"/>
      <color theme="0" tint="-0.34998626667073579"/>
      <name val="Arial Narrow"/>
      <family val="2"/>
    </font>
    <font>
      <b/>
      <sz val="7"/>
      <name val="Arial Narrow"/>
      <family val="2"/>
    </font>
    <font>
      <b/>
      <sz val="9"/>
      <color indexed="50"/>
      <name val="Arial Narrow"/>
    </font>
    <font>
      <b/>
      <i/>
      <sz val="8"/>
      <name val="Arial Narrow"/>
      <family val="2"/>
    </font>
    <font>
      <b/>
      <i/>
      <sz val="6"/>
      <name val="Arial Narrow"/>
      <family val="2"/>
    </font>
    <font>
      <b/>
      <i/>
      <sz val="11"/>
      <name val="Arial Narrow"/>
      <family val="2"/>
    </font>
    <font>
      <b/>
      <i/>
      <sz val="10"/>
      <name val="Arial Narrow"/>
      <family val="2"/>
    </font>
    <font>
      <b/>
      <sz val="9"/>
      <color indexed="50"/>
      <name val="Arial Narrow"/>
    </font>
    <font>
      <b/>
      <sz val="12"/>
      <color indexed="10"/>
      <name val="Arial Narrow"/>
    </font>
    <font>
      <sz val="9"/>
      <name val="Arial Narrow"/>
    </font>
    <font>
      <i/>
      <sz val="9"/>
      <color indexed="55"/>
      <name val="Arial Narrow"/>
      <family val="2"/>
    </font>
    <font>
      <b/>
      <sz val="9"/>
      <color indexed="15"/>
      <name val="Arial Narrow"/>
    </font>
    <font>
      <b/>
      <sz val="6"/>
      <name val="Arial Narrow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9"/>
        <bgColor indexed="22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55"/>
      </right>
      <top style="thin">
        <color indexed="64"/>
      </top>
      <bottom style="dotted">
        <color indexed="64"/>
      </bottom>
      <diagonal/>
    </border>
    <border>
      <left style="hair">
        <color indexed="55"/>
      </left>
      <right/>
      <top style="thin">
        <color indexed="64"/>
      </top>
      <bottom style="dotted">
        <color indexed="64"/>
      </bottom>
      <diagonal/>
    </border>
    <border>
      <left style="hair">
        <color indexed="55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55"/>
      </right>
      <top style="dotted">
        <color indexed="64"/>
      </top>
      <bottom style="dotted">
        <color indexed="64"/>
      </bottom>
      <diagonal/>
    </border>
    <border>
      <left style="hair">
        <color indexed="55"/>
      </left>
      <right/>
      <top style="dotted">
        <color indexed="64"/>
      </top>
      <bottom style="dotted">
        <color indexed="64"/>
      </bottom>
      <diagonal/>
    </border>
    <border>
      <left style="hair">
        <color indexed="55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55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55"/>
      </right>
      <top style="dotted">
        <color indexed="64"/>
      </top>
      <bottom style="thin">
        <color indexed="64"/>
      </bottom>
      <diagonal/>
    </border>
    <border>
      <left style="hair">
        <color indexed="55"/>
      </left>
      <right/>
      <top style="dotted">
        <color indexed="64"/>
      </top>
      <bottom style="thin">
        <color indexed="64"/>
      </bottom>
      <diagonal/>
    </border>
    <border>
      <left style="hair">
        <color indexed="55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55"/>
      </right>
      <top/>
      <bottom style="dotted">
        <color indexed="64"/>
      </bottom>
      <diagonal/>
    </border>
    <border>
      <left style="hair">
        <color indexed="55"/>
      </left>
      <right style="thin">
        <color indexed="64"/>
      </right>
      <top/>
      <bottom style="dotted">
        <color indexed="64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ck">
        <color indexed="10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ck">
        <color indexed="25"/>
      </left>
      <right style="thick">
        <color indexed="25"/>
      </right>
      <top style="thick">
        <color indexed="25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ck">
        <color indexed="25"/>
      </left>
      <right style="thick">
        <color indexed="25"/>
      </right>
      <top style="dotted">
        <color indexed="64"/>
      </top>
      <bottom style="thick">
        <color indexed="25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25"/>
      </left>
      <right style="thick">
        <color indexed="25"/>
      </right>
      <top style="thick">
        <color indexed="25"/>
      </top>
      <bottom style="thick">
        <color indexed="25"/>
      </bottom>
      <diagonal/>
    </border>
    <border>
      <left style="thick">
        <color indexed="48"/>
      </left>
      <right style="thick">
        <color indexed="48"/>
      </right>
      <top style="thick">
        <color indexed="48"/>
      </top>
      <bottom style="thick">
        <color indexed="48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109">
    <xf numFmtId="0" fontId="0" fillId="0" borderId="0" xfId="0"/>
    <xf numFmtId="0" fontId="2" fillId="0" borderId="0" xfId="0" applyFont="1"/>
    <xf numFmtId="0" fontId="6" fillId="0" borderId="5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left" vertical="center" wrapText="1"/>
    </xf>
    <xf numFmtId="0" fontId="9" fillId="0" borderId="0" xfId="0" applyFont="1"/>
    <xf numFmtId="0" fontId="8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textRotation="90" wrapText="1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center"/>
    </xf>
    <xf numFmtId="0" fontId="9" fillId="0" borderId="0" xfId="0" applyFont="1" applyFill="1" applyBorder="1"/>
    <xf numFmtId="0" fontId="8" fillId="0" borderId="19" xfId="0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horizontal="left" vertical="center"/>
    </xf>
    <xf numFmtId="0" fontId="8" fillId="0" borderId="12" xfId="0" applyFont="1" applyFill="1" applyBorder="1" applyAlignment="1">
      <alignment horizontal="left" vertical="center"/>
    </xf>
    <xf numFmtId="0" fontId="12" fillId="0" borderId="0" xfId="1" applyFont="1" applyAlignment="1">
      <alignment vertical="top"/>
    </xf>
    <xf numFmtId="0" fontId="4" fillId="0" borderId="0" xfId="0" applyFont="1"/>
    <xf numFmtId="0" fontId="4" fillId="0" borderId="0" xfId="0" applyFont="1" applyFill="1" applyBorder="1"/>
    <xf numFmtId="0" fontId="2" fillId="0" borderId="24" xfId="0" applyFont="1" applyBorder="1" applyAlignment="1">
      <alignment horizontal="center"/>
    </xf>
    <xf numFmtId="0" fontId="10" fillId="2" borderId="0" xfId="0" applyFont="1" applyFill="1" applyBorder="1"/>
    <xf numFmtId="49" fontId="0" fillId="2" borderId="0" xfId="0" applyNumberFormat="1" applyFill="1"/>
    <xf numFmtId="49" fontId="0" fillId="2" borderId="0" xfId="0" applyNumberFormat="1" applyFill="1" applyAlignment="1">
      <alignment wrapText="1"/>
    </xf>
    <xf numFmtId="0" fontId="10" fillId="2" borderId="0" xfId="0" applyFont="1" applyFill="1"/>
    <xf numFmtId="0" fontId="0" fillId="2" borderId="0" xfId="0" applyFill="1"/>
    <xf numFmtId="0" fontId="14" fillId="0" borderId="0" xfId="0" applyFont="1" applyBorder="1"/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2" xfId="0" applyFont="1" applyBorder="1" applyAlignment="1">
      <alignment horizontal="center"/>
    </xf>
    <xf numFmtId="0" fontId="8" fillId="0" borderId="24" xfId="0" applyFont="1" applyFill="1" applyBorder="1" applyAlignment="1">
      <alignment horizontal="left" vertical="center" wrapText="1"/>
    </xf>
    <xf numFmtId="0" fontId="8" fillId="0" borderId="18" xfId="0" applyFont="1" applyFill="1" applyBorder="1" applyAlignment="1">
      <alignment horizontal="left" vertical="center" wrapText="1"/>
    </xf>
    <xf numFmtId="0" fontId="8" fillId="0" borderId="20" xfId="0" applyFont="1" applyFill="1" applyBorder="1" applyAlignment="1">
      <alignment horizontal="left" vertical="center" wrapText="1"/>
    </xf>
    <xf numFmtId="0" fontId="8" fillId="0" borderId="2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left" vertical="center" wrapText="1"/>
    </xf>
    <xf numFmtId="0" fontId="8" fillId="0" borderId="11" xfId="0" applyFont="1" applyFill="1" applyBorder="1" applyAlignment="1">
      <alignment horizontal="left" vertical="center" wrapText="1"/>
    </xf>
    <xf numFmtId="0" fontId="8" fillId="0" borderId="16" xfId="0" applyFont="1" applyFill="1" applyBorder="1" applyAlignment="1">
      <alignment horizontal="left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/>
    </xf>
    <xf numFmtId="0" fontId="8" fillId="0" borderId="25" xfId="0" applyFont="1" applyFill="1" applyBorder="1" applyAlignment="1">
      <alignment horizontal="left" vertical="center" wrapText="1"/>
    </xf>
    <xf numFmtId="0" fontId="8" fillId="0" borderId="26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164" fontId="1" fillId="0" borderId="18" xfId="0" applyNumberFormat="1" applyFont="1" applyBorder="1" applyAlignment="1">
      <alignment vertical="center"/>
    </xf>
    <xf numFmtId="164" fontId="20" fillId="0" borderId="18" xfId="0" applyNumberFormat="1" applyFont="1" applyBorder="1" applyAlignment="1">
      <alignment vertical="center"/>
    </xf>
    <xf numFmtId="0" fontId="3" fillId="0" borderId="27" xfId="0" applyFont="1" applyFill="1" applyBorder="1" applyAlignment="1">
      <alignment horizontal="center"/>
    </xf>
    <xf numFmtId="0" fontId="3" fillId="0" borderId="28" xfId="0" applyFont="1" applyFill="1" applyBorder="1" applyAlignment="1">
      <alignment horizontal="center"/>
    </xf>
    <xf numFmtId="0" fontId="3" fillId="0" borderId="29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9" fillId="0" borderId="5" xfId="0" applyFont="1" applyBorder="1" applyAlignment="1">
      <alignment horizontal="center" wrapText="1"/>
    </xf>
    <xf numFmtId="0" fontId="19" fillId="0" borderId="0" xfId="0" applyFont="1" applyBorder="1" applyAlignment="1">
      <alignment horizontal="center"/>
    </xf>
    <xf numFmtId="0" fontId="19" fillId="0" borderId="19" xfId="0" applyFont="1" applyBorder="1" applyAlignment="1">
      <alignment horizont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22" fillId="0" borderId="14" xfId="0" applyFont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left" vertical="center"/>
    </xf>
    <xf numFmtId="0" fontId="8" fillId="0" borderId="31" xfId="0" applyFont="1" applyFill="1" applyBorder="1" applyAlignment="1">
      <alignment horizontal="left" vertical="center" wrapText="1"/>
    </xf>
    <xf numFmtId="0" fontId="5" fillId="0" borderId="14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textRotation="90" wrapText="1"/>
    </xf>
    <xf numFmtId="0" fontId="24" fillId="0" borderId="29" xfId="0" applyFont="1" applyBorder="1" applyAlignment="1">
      <alignment horizontal="center"/>
    </xf>
    <xf numFmtId="0" fontId="25" fillId="0" borderId="15" xfId="0" applyFont="1" applyFill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165" fontId="23" fillId="0" borderId="5" xfId="0" applyNumberFormat="1" applyFont="1" applyBorder="1" applyAlignment="1">
      <alignment horizontal="center" vertical="center" textRotation="90" wrapText="1"/>
    </xf>
    <xf numFmtId="165" fontId="23" fillId="0" borderId="9" xfId="0" applyNumberFormat="1" applyFont="1" applyBorder="1" applyAlignment="1">
      <alignment horizontal="center" vertical="center" textRotation="90" wrapText="1"/>
    </xf>
    <xf numFmtId="165" fontId="5" fillId="0" borderId="5" xfId="0" applyNumberFormat="1" applyFont="1" applyBorder="1" applyAlignment="1">
      <alignment horizontal="center" vertical="center" textRotation="90" wrapText="1"/>
    </xf>
    <xf numFmtId="165" fontId="5" fillId="0" borderId="9" xfId="0" applyNumberFormat="1" applyFont="1" applyBorder="1" applyAlignment="1">
      <alignment horizontal="center" vertical="center" textRotation="90" wrapText="1"/>
    </xf>
    <xf numFmtId="0" fontId="23" fillId="0" borderId="9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righ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1" fillId="0" borderId="18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166" fontId="20" fillId="0" borderId="18" xfId="0" applyNumberFormat="1" applyFont="1" applyBorder="1" applyAlignment="1">
      <alignment horizontal="right" vertical="center"/>
    </xf>
    <xf numFmtId="166" fontId="20" fillId="0" borderId="18" xfId="0" applyNumberFormat="1" applyFont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/>
    </xf>
    <xf numFmtId="0" fontId="3" fillId="2" borderId="32" xfId="0" applyFont="1" applyFill="1" applyBorder="1" applyAlignment="1">
      <alignment horizontal="center" vertical="center"/>
    </xf>
    <xf numFmtId="0" fontId="24" fillId="0" borderId="33" xfId="0" applyFont="1" applyBorder="1" applyAlignment="1">
      <alignment horizontal="center"/>
    </xf>
    <xf numFmtId="0" fontId="24" fillId="0" borderId="35" xfId="0" applyFont="1" applyBorder="1" applyAlignment="1">
      <alignment horizontal="center"/>
    </xf>
    <xf numFmtId="0" fontId="19" fillId="0" borderId="5" xfId="0" applyFont="1" applyFill="1" applyBorder="1" applyAlignment="1">
      <alignment horizontal="center" wrapText="1"/>
    </xf>
    <xf numFmtId="0" fontId="24" fillId="0" borderId="34" xfId="0" applyFont="1" applyFill="1" applyBorder="1" applyAlignment="1">
      <alignment horizontal="center"/>
    </xf>
    <xf numFmtId="0" fontId="24" fillId="0" borderId="36" xfId="0" applyFont="1" applyFill="1" applyBorder="1" applyAlignment="1">
      <alignment horizontal="center"/>
    </xf>
    <xf numFmtId="0" fontId="24" fillId="0" borderId="37" xfId="0" applyFont="1" applyBorder="1" applyAlignment="1">
      <alignment horizontal="center"/>
    </xf>
    <xf numFmtId="0" fontId="4" fillId="6" borderId="38" xfId="0" applyFont="1" applyFill="1" applyBorder="1" applyAlignment="1">
      <alignment horizontal="center"/>
    </xf>
    <xf numFmtId="0" fontId="27" fillId="6" borderId="9" xfId="0" applyFont="1" applyFill="1" applyBorder="1" applyAlignment="1">
      <alignment horizontal="center"/>
    </xf>
    <xf numFmtId="0" fontId="27" fillId="0" borderId="29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9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11">
    <dxf>
      <font>
        <color auto="1"/>
      </font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99FF"/>
        </patternFill>
      </fill>
    </dxf>
    <dxf>
      <fill>
        <patternFill>
          <bgColor rgb="FF00B0F0"/>
        </patternFill>
      </fill>
    </dxf>
    <dxf>
      <fill>
        <patternFill>
          <bgColor rgb="FF66CCFF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</dxfs>
  <tableStyles count="0" defaultTableStyle="TableStyleMedium9"/>
  <colors>
    <mruColors>
      <color rgb="FFFF99FF"/>
      <color rgb="FFCC99FF"/>
      <color rgb="FF33CCFF"/>
      <color rgb="FFCC66FF"/>
      <color rgb="FF66CCFF"/>
      <color rgb="FFCCFFFF"/>
      <color rgb="FFFFFF99"/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externalLink" Target="externalLinks/externalLink1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loerolli/Documents/Donn&#233;es%20utilisateurs%20Microsoft/Office%202008%20AutoRecovery/test-planning2%20(1)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codeName="Feuil2" enableFormatConditionsCalculation="0">
    <tabColor rgb="FF00B050"/>
  </sheetPr>
  <dimension ref="A1:B20"/>
  <sheetViews>
    <sheetView workbookViewId="0">
      <selection activeCell="B1" sqref="B1"/>
    </sheetView>
  </sheetViews>
  <sheetFormatPr baseColWidth="10" defaultColWidth="10.83203125" defaultRowHeight="14"/>
  <cols>
    <col min="1" max="1" width="13.5" style="31" customWidth="1"/>
    <col min="2" max="2" width="15.5" style="31" customWidth="1"/>
    <col min="3" max="16384" width="10.83203125" style="31"/>
  </cols>
  <sheetData>
    <row r="1" spans="1:2" ht="18">
      <c r="A1" s="30" t="s">
        <v>53</v>
      </c>
      <c r="B1" s="30" t="s">
        <v>39</v>
      </c>
    </row>
    <row r="2" spans="1:2" ht="18">
      <c r="A2" s="30" t="s">
        <v>41</v>
      </c>
      <c r="B2" s="30" t="s">
        <v>42</v>
      </c>
    </row>
    <row r="3" spans="1:2" ht="18">
      <c r="A3" s="30" t="s">
        <v>27</v>
      </c>
      <c r="B3" s="30" t="s">
        <v>43</v>
      </c>
    </row>
    <row r="4" spans="1:2" ht="18">
      <c r="A4" s="30" t="s">
        <v>27</v>
      </c>
      <c r="B4" s="30" t="s">
        <v>43</v>
      </c>
    </row>
    <row r="5" spans="1:2" ht="18">
      <c r="A5" s="30" t="s">
        <v>48</v>
      </c>
      <c r="B5" s="30" t="s">
        <v>49</v>
      </c>
    </row>
    <row r="6" spans="1:2" ht="18">
      <c r="A6" s="30" t="s">
        <v>44</v>
      </c>
      <c r="B6" s="30" t="s">
        <v>45</v>
      </c>
    </row>
    <row r="7" spans="1:2" ht="18">
      <c r="A7" s="30" t="s">
        <v>29</v>
      </c>
      <c r="B7" s="30" t="s">
        <v>47</v>
      </c>
    </row>
    <row r="8" spans="1:2" ht="18">
      <c r="A8" s="30" t="s">
        <v>28</v>
      </c>
      <c r="B8" s="30" t="s">
        <v>46</v>
      </c>
    </row>
    <row r="9" spans="1:2" ht="18">
      <c r="A9" s="30" t="s">
        <v>50</v>
      </c>
      <c r="B9" s="30" t="s">
        <v>51</v>
      </c>
    </row>
    <row r="10" spans="1:2" ht="18">
      <c r="A10" s="30" t="s">
        <v>40</v>
      </c>
      <c r="B10" s="30" t="s">
        <v>52</v>
      </c>
    </row>
    <row r="11" spans="1:2" ht="18">
      <c r="A11" s="30" t="s">
        <v>54</v>
      </c>
      <c r="B11" s="30" t="s">
        <v>55</v>
      </c>
    </row>
    <row r="12" spans="1:2" ht="18">
      <c r="A12" s="30" t="s">
        <v>56</v>
      </c>
      <c r="B12" s="30" t="s">
        <v>42</v>
      </c>
    </row>
    <row r="13" spans="1:2" ht="18">
      <c r="A13" s="30"/>
      <c r="B13" s="30"/>
    </row>
    <row r="14" spans="1:2" ht="18">
      <c r="A14" s="30"/>
      <c r="B14" s="30"/>
    </row>
    <row r="15" spans="1:2" ht="18">
      <c r="A15" s="30"/>
      <c r="B15" s="30"/>
    </row>
    <row r="16" spans="1:2" ht="18">
      <c r="A16" s="30"/>
      <c r="B16" s="30"/>
    </row>
    <row r="17" spans="1:2" ht="18">
      <c r="A17" s="30"/>
      <c r="B17" s="30"/>
    </row>
    <row r="18" spans="1:2" ht="18">
      <c r="A18" s="30"/>
      <c r="B18" s="30"/>
    </row>
    <row r="19" spans="1:2" ht="18">
      <c r="A19" s="30"/>
      <c r="B19" s="30"/>
    </row>
    <row r="20" spans="1:2" ht="18">
      <c r="A20" s="30"/>
      <c r="B20" s="30"/>
    </row>
  </sheetData>
  <phoneticPr fontId="13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codeName="Feuil3" enableFormatConditionsCalculation="0">
    <tabColor rgb="FFFFC000"/>
  </sheetPr>
  <dimension ref="A1:B17"/>
  <sheetViews>
    <sheetView topLeftCell="A2" workbookViewId="0">
      <selection activeCell="B5" sqref="B5"/>
    </sheetView>
  </sheetViews>
  <sheetFormatPr baseColWidth="10" defaultColWidth="10.83203125" defaultRowHeight="14"/>
  <cols>
    <col min="1" max="1" width="29.6640625" style="28" customWidth="1"/>
    <col min="2" max="2" width="100.33203125" style="29" bestFit="1" customWidth="1"/>
    <col min="3" max="16384" width="10.83203125" style="28"/>
  </cols>
  <sheetData>
    <row r="1" spans="1:2" ht="18">
      <c r="A1" s="27" t="s">
        <v>74</v>
      </c>
      <c r="B1" s="27" t="s">
        <v>75</v>
      </c>
    </row>
    <row r="2" spans="1:2" ht="18">
      <c r="A2" s="27"/>
      <c r="B2" s="27"/>
    </row>
    <row r="3" spans="1:2" ht="18">
      <c r="A3" s="27" t="s">
        <v>71</v>
      </c>
      <c r="B3" s="27" t="s">
        <v>72</v>
      </c>
    </row>
    <row r="4" spans="1:2" ht="18">
      <c r="A4" s="27"/>
      <c r="B4" s="27"/>
    </row>
    <row r="5" spans="1:2" ht="18">
      <c r="A5" s="27" t="s">
        <v>26</v>
      </c>
      <c r="B5" s="27" t="s">
        <v>73</v>
      </c>
    </row>
    <row r="6" spans="1:2" ht="18">
      <c r="A6" s="27" t="s">
        <v>59</v>
      </c>
      <c r="B6" s="27" t="s">
        <v>60</v>
      </c>
    </row>
    <row r="7" spans="1:2" ht="18">
      <c r="A7" s="27"/>
      <c r="B7" s="27"/>
    </row>
    <row r="8" spans="1:2" ht="18">
      <c r="A8" s="27" t="s">
        <v>57</v>
      </c>
      <c r="B8" s="27" t="s">
        <v>58</v>
      </c>
    </row>
    <row r="9" spans="1:2" ht="18">
      <c r="A9" s="27" t="s">
        <v>61</v>
      </c>
      <c r="B9" s="27" t="s">
        <v>62</v>
      </c>
    </row>
    <row r="10" spans="1:2" ht="18">
      <c r="A10" s="27"/>
      <c r="B10" s="27"/>
    </row>
    <row r="11" spans="1:2" ht="18">
      <c r="A11" s="27" t="s">
        <v>63</v>
      </c>
      <c r="B11" s="27" t="s">
        <v>64</v>
      </c>
    </row>
    <row r="12" spans="1:2" ht="18">
      <c r="A12" s="27" t="s">
        <v>67</v>
      </c>
      <c r="B12" s="27" t="s">
        <v>68</v>
      </c>
    </row>
    <row r="13" spans="1:2" ht="18">
      <c r="A13" s="27"/>
      <c r="B13" s="27"/>
    </row>
    <row r="14" spans="1:2" ht="18">
      <c r="A14" s="27" t="s">
        <v>65</v>
      </c>
      <c r="B14" s="27" t="s">
        <v>66</v>
      </c>
    </row>
    <row r="15" spans="1:2" ht="18">
      <c r="A15" s="27" t="s">
        <v>69</v>
      </c>
      <c r="B15" s="27" t="s">
        <v>70</v>
      </c>
    </row>
    <row r="16" spans="1:2">
      <c r="B16" s="28"/>
    </row>
    <row r="17" spans="2:2">
      <c r="B17" s="28"/>
    </row>
  </sheetData>
  <phoneticPr fontId="13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codeName="Feuil1" enableFormatConditionsCalculation="0">
    <tabColor theme="1"/>
  </sheetPr>
  <dimension ref="A1:U68"/>
  <sheetViews>
    <sheetView tabSelected="1" topLeftCell="A26" zoomScale="180" zoomScaleNormal="180" zoomScalePageLayoutView="180" workbookViewId="0">
      <selection activeCell="T50" sqref="T50"/>
    </sheetView>
  </sheetViews>
  <sheetFormatPr baseColWidth="10" defaultColWidth="20.5" defaultRowHeight="14" customHeight="1"/>
  <cols>
    <col min="1" max="1" width="3.6640625" style="12" customWidth="1"/>
    <col min="2" max="2" width="4" style="12" customWidth="1"/>
    <col min="3" max="3" width="1" style="19" customWidth="1"/>
    <col min="4" max="4" width="3" style="12" customWidth="1"/>
    <col min="5" max="5" width="6.6640625" style="12" customWidth="1"/>
    <col min="6" max="6" width="6.83203125" style="12" customWidth="1"/>
    <col min="7" max="7" width="4.1640625" style="12" customWidth="1"/>
    <col min="8" max="8" width="12" style="12" customWidth="1"/>
    <col min="9" max="9" width="3" style="12" customWidth="1"/>
    <col min="10" max="10" width="6.6640625" style="12" customWidth="1"/>
    <col min="11" max="11" width="1.1640625" style="12" customWidth="1"/>
    <col min="12" max="12" width="3" style="12" customWidth="1"/>
    <col min="13" max="13" width="6.6640625" style="12" customWidth="1"/>
    <col min="14" max="14" width="3" style="12" customWidth="1"/>
    <col min="15" max="15" width="6.6640625" style="12" customWidth="1"/>
    <col min="16" max="16" width="1" style="19" customWidth="1"/>
    <col min="17" max="17" width="1" style="12" customWidth="1"/>
    <col min="18" max="18" width="5.1640625" style="12" customWidth="1"/>
    <col min="19" max="20" width="5.6640625" style="12" customWidth="1"/>
    <col min="21" max="37" width="5" style="12" customWidth="1"/>
    <col min="38" max="16384" width="20.5" style="12"/>
  </cols>
  <sheetData>
    <row r="1" spans="1:21" ht="21" customHeight="1" thickBot="1">
      <c r="A1" s="23"/>
      <c r="B1" s="24"/>
      <c r="C1" s="25"/>
      <c r="D1" s="24"/>
      <c r="E1" s="24"/>
      <c r="F1" s="24"/>
      <c r="G1" s="24"/>
      <c r="H1" s="24"/>
      <c r="I1" s="24"/>
      <c r="J1" s="24"/>
      <c r="K1" s="24"/>
      <c r="L1" s="24"/>
      <c r="M1" s="24"/>
      <c r="N1" s="23"/>
      <c r="O1" s="24"/>
      <c r="P1" s="25"/>
      <c r="Q1" s="24"/>
      <c r="U1" s="32"/>
    </row>
    <row r="2" spans="1:21" s="1" customFormat="1" ht="18" customHeight="1" thickTop="1" thickBot="1">
      <c r="A2" s="91" t="s">
        <v>31</v>
      </c>
      <c r="B2" s="91"/>
      <c r="C2" s="91"/>
      <c r="D2" s="91"/>
      <c r="E2" s="91"/>
      <c r="F2" s="91"/>
      <c r="G2" s="93">
        <v>41414</v>
      </c>
      <c r="H2" s="93"/>
      <c r="I2" s="56" t="s">
        <v>30</v>
      </c>
      <c r="J2" s="94">
        <f>G2+6</f>
        <v>41420</v>
      </c>
      <c r="K2" s="94"/>
      <c r="L2" s="94"/>
      <c r="M2" s="55"/>
      <c r="N2" s="92" t="s">
        <v>78</v>
      </c>
      <c r="O2" s="92"/>
      <c r="P2" s="92"/>
      <c r="Q2" s="92"/>
      <c r="R2" s="92"/>
      <c r="S2" s="108" t="s">
        <v>91</v>
      </c>
      <c r="T2" s="107" t="s">
        <v>92</v>
      </c>
    </row>
    <row r="3" spans="1:21" s="49" customFormat="1" ht="12" customHeight="1" thickTop="1" thickBot="1">
      <c r="A3" s="89" t="s">
        <v>80</v>
      </c>
      <c r="B3" s="89"/>
      <c r="C3" s="89"/>
      <c r="D3" s="89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</row>
    <row r="4" spans="1:21" s="34" customFormat="1" ht="14.25" customHeight="1" thickTop="1" thickBot="1">
      <c r="A4" s="43" t="s">
        <v>76</v>
      </c>
      <c r="B4" s="43" t="s">
        <v>79</v>
      </c>
      <c r="C4" s="33"/>
      <c r="D4" s="86" t="s">
        <v>24</v>
      </c>
      <c r="E4" s="87"/>
      <c r="F4" s="87"/>
      <c r="G4" s="87"/>
      <c r="H4" s="87"/>
      <c r="I4" s="87"/>
      <c r="J4" s="88"/>
      <c r="K4" s="40"/>
      <c r="L4" s="86" t="s">
        <v>25</v>
      </c>
      <c r="M4" s="87"/>
      <c r="N4" s="87"/>
      <c r="O4" s="88"/>
      <c r="P4" s="33"/>
      <c r="Q4" s="68"/>
      <c r="R4" s="69"/>
      <c r="S4" s="61" t="s">
        <v>77</v>
      </c>
      <c r="T4" s="97" t="s">
        <v>83</v>
      </c>
    </row>
    <row r="5" spans="1:21" s="18" customFormat="1" ht="3.75" customHeight="1" thickTop="1">
      <c r="A5" s="14"/>
      <c r="B5" s="15"/>
      <c r="C5" s="13"/>
      <c r="D5" s="16"/>
      <c r="E5" s="13"/>
      <c r="F5" s="13"/>
      <c r="G5" s="52"/>
      <c r="H5" s="52"/>
      <c r="I5" s="13"/>
      <c r="J5" s="13"/>
      <c r="K5" s="13"/>
      <c r="L5" s="16"/>
      <c r="M5" s="13"/>
      <c r="N5" s="13"/>
      <c r="O5" s="13"/>
      <c r="P5" s="13"/>
      <c r="Q5" s="17"/>
      <c r="R5" s="16"/>
      <c r="S5" s="17"/>
      <c r="T5" s="16"/>
    </row>
    <row r="6" spans="1:21" s="5" customFormat="1" ht="14" customHeight="1" thickBot="1">
      <c r="A6" s="80">
        <f>G2</f>
        <v>41414</v>
      </c>
      <c r="B6" s="2" t="s">
        <v>17</v>
      </c>
      <c r="C6" s="20"/>
      <c r="D6" s="3" t="str">
        <f>IF(OR($B6="J",$B7="J",$B8="J",$B9="J",$B10="J",$B11="J",$B12="J"),"-",IF(OR($B6="J1/2",$B7="J1/2",$B8="J1/2",$B9="J1/2",$B10="J1/2",$B11="J1/2",$B12="J1/2"),"-","J"))</f>
        <v>J</v>
      </c>
      <c r="E6" s="44" t="str">
        <f>IF($D6="-","","PCig")</f>
        <v>PCig</v>
      </c>
      <c r="F6" s="36"/>
      <c r="G6" s="36"/>
      <c r="H6" s="50"/>
      <c r="I6" s="3" t="str">
        <f>IF(OR($B6="M",$B7="M",$B8="M",$B9="M",$B10="M",$B11="M",$B12="M"),"-",IF(OR($B6="M1/2",$B7="M1/2",$B8="M1/2",$B9="M1/2",$B10="M1/2",$B11="M1/2",$B12="M1/2"),"-","M"))</f>
        <v>M</v>
      </c>
      <c r="J6" s="4" t="str">
        <f>IF($I6="-","",IF($D7="-","Anx",IF($E7="Pcig","Anx","BUR")))</f>
        <v>Anx</v>
      </c>
      <c r="K6" s="13"/>
      <c r="L6" s="3" t="str">
        <f>IF(OR($B6="J",$B7="J",$B8="J",$B9="J",$B10="J",$B11="J",$B12="J"),"-","J")</f>
        <v>J</v>
      </c>
      <c r="M6" s="4" t="str">
        <f>IF($L6="-","",IF($O9="SP2","LST",IF(AND($L7="-",$L12="-"),"SP2",IF(AND($L8="-",$M11="LOU"),"SP2",IF(AND($M12="CAI",$M11="LOU"),"SP2","SP2")))))</f>
        <v>SP2</v>
      </c>
      <c r="N6" s="3" t="str">
        <f>IF(OR($B5="M",$B6="M",$B7="M",$B8="M",$B9="M",$B10="M",$B11="M"),"-","M")</f>
        <v>M</v>
      </c>
      <c r="O6" s="21" t="str">
        <f>IF($N6="-","",IF(AND($M11="LOU",$M8=""),"SP2",IF(AND($M11="LOU",$M12="CAI",$M8="SP3"),"BUR",IF(AND($M11="LOU",$M12="CAI",$M8="SP1"),"SP2",IF(AND($L7="-",$L11="-"),"SP2","SP3")))))</f>
        <v>SP3</v>
      </c>
      <c r="P6" s="13"/>
      <c r="Q6" s="35"/>
      <c r="R6" s="26"/>
      <c r="S6" s="65" t="s">
        <v>82</v>
      </c>
      <c r="T6" s="100" t="s">
        <v>84</v>
      </c>
    </row>
    <row r="7" spans="1:21" s="5" customFormat="1" ht="14" customHeight="1" thickTop="1">
      <c r="A7" s="81"/>
      <c r="B7" s="6" t="s">
        <v>100</v>
      </c>
      <c r="C7" s="20"/>
      <c r="D7" s="7" t="str">
        <f>IF(OR($B6="W",$B7="W",$B8="W",$B9="W",$B10="W",$B11="W",$B12="W"),"-",IF(OR($B$6="W1/2",$B7="W1/2",$B8="W1/2",$B9="W1/2",$B10="W1/2",$B11="W1/2",$B12="W1/2"),"-","W"))</f>
        <v>-</v>
      </c>
      <c r="E7" s="45" t="str">
        <f>IF($D7="-","",IF($D6="-","PCig",IF($E6="PCig","Anx","LST")))</f>
        <v/>
      </c>
      <c r="F7" s="52"/>
      <c r="G7" s="52"/>
      <c r="H7" s="20"/>
      <c r="I7" s="71" t="str">
        <f>IF(OR($B6="H",$B7="H",$B8="H",$B9="H",$B10="H",$B11="H",$B12="H"),"-",IF(OR($B6="H1/2",$B7="H1/2",$B8="H1/2",$B9="H1/2",$B10="H1/2",$B11="H1/2",$B12="H1/2"),"-","H"))</f>
        <v>H</v>
      </c>
      <c r="J7" s="73" t="str">
        <f>IF($I7="-","","CAI")</f>
        <v>CAI</v>
      </c>
      <c r="K7" s="13"/>
      <c r="L7" s="7" t="str">
        <f>IF(OR($B6="W",$B7="W",$B8="W",$B9="W",$B10="W",$B11="W",$B12="W"),"-","W")</f>
        <v>-</v>
      </c>
      <c r="M7" s="8" t="str">
        <f>IF($L7="-","","SP1")</f>
        <v/>
      </c>
      <c r="N7" s="71" t="str">
        <f>IF(OR($B6="H",$B7="H",$B8="H",$B9="H",$B10="H",$B11="H",$B12="H"),"-","H")</f>
        <v>H</v>
      </c>
      <c r="O7" s="72" t="str">
        <f>IF($N7="-","","CAI")</f>
        <v>CAI</v>
      </c>
      <c r="P7" s="13"/>
      <c r="Q7" s="54"/>
      <c r="R7" s="57" t="s">
        <v>85</v>
      </c>
      <c r="S7" s="98" t="str">
        <f>IF(AND($A12="*",$J7="CAI"),"H",IF(AND($A12="*",$J8="CAI"),"V",IF(AND($A12="*",$E12="CAI"),"AL","-")))</f>
        <v>H</v>
      </c>
      <c r="T7" s="101" t="s">
        <v>16</v>
      </c>
    </row>
    <row r="8" spans="1:21" s="5" customFormat="1" ht="14" customHeight="1" thickBot="1">
      <c r="A8" s="84" t="s">
        <v>32</v>
      </c>
      <c r="B8" s="6"/>
      <c r="C8" s="20"/>
      <c r="D8" s="7" t="str">
        <f>IF(OR($B6="T",$B7="T",$B8="T",$B9="T",$B10="T",$B11="T",$B12="T"),"-",IF(OR($B6="T1/2",$B7="T1/2",$B8="T1/2",$B9="T1/2",$B10="T1/2",$B11="T1/2",$B12="T1/2"),"-","T"))</f>
        <v>T</v>
      </c>
      <c r="E8" s="45" t="str">
        <f>IF($D8="-","",IF(AND($E11="LOU",$D7="-",$J6=""),"Anx",IF(AND($D7="-",$J6=""),"Anx","LST")))</f>
        <v>LST</v>
      </c>
      <c r="F8" s="52"/>
      <c r="G8" s="52"/>
      <c r="H8" s="20"/>
      <c r="I8" s="7" t="str">
        <f>IF(OR($B6="V",$B7="V",$B8="V",$B9="V",$B10="V",$B11="V",$B12="V"),"-",IF(OR($B6="V1/2",$B7="V1/2",$B8="V1/2",$B9="V1/2",$B10="V1/2",$B11="V1/2",$B12="V1/2"),"-","V"))</f>
        <v>V</v>
      </c>
      <c r="J8" s="8" t="str">
        <f>IF($I8="-","",IF($I7="-","CAI","BAR"))</f>
        <v>BAR</v>
      </c>
      <c r="K8" s="13"/>
      <c r="L8" s="7" t="str">
        <f>IF(OR($B6="T",$B7="T",$B8="T",$B9="T",$B10="T",$B11="T",$B12="T"),"-","T")</f>
        <v>T</v>
      </c>
      <c r="M8" s="8" t="str">
        <f>IF($L8="-","",IF($L7="-","SP1",IF(AND($M11="LOU",$N6="-",$M6="SP2"),"LST",IF(AND($M11="LOU",$N6="-",$L6="-"),"SP2",IF($L6="-","LST","LST")))))</f>
        <v>SP1</v>
      </c>
      <c r="N8" s="7" t="str">
        <f>IF(OR($B6="V",$B7="V",$B8="V",$B9="V",$B10="V",$B11="V",$B12="V"),"-","V")</f>
        <v>V</v>
      </c>
      <c r="O8" s="22" t="str">
        <f>IF($N8="-","",IF(AND($N7="-",$N12="-"),"CAI","BAR"))</f>
        <v>BAR</v>
      </c>
      <c r="P8" s="13"/>
      <c r="Q8" s="53"/>
      <c r="R8" s="58" t="s">
        <v>86</v>
      </c>
      <c r="S8" s="99" t="s">
        <v>109</v>
      </c>
      <c r="T8" s="102" t="s">
        <v>110</v>
      </c>
    </row>
    <row r="9" spans="1:21" s="5" customFormat="1" ht="14" customHeight="1" thickTop="1" thickBot="1">
      <c r="A9" s="84"/>
      <c r="B9" s="6"/>
      <c r="C9" s="20"/>
      <c r="D9" s="7" t="str">
        <f>IF(OR($B6="F",$B7="F",$B8="F",$B9="F",$B10="F",$B11="F",$B12="F"),"-",IF(OR($B6="F1/2",$B7="F1/2",$B8="F1/2",$B9="F1/2",$B10="F1/2",$B11="F1/2",$B12="F1/2"),"-","F"))</f>
        <v>F</v>
      </c>
      <c r="E9" s="45" t="str">
        <f>IF($D9="-","","ENT")</f>
        <v>ENT</v>
      </c>
      <c r="F9" s="60"/>
      <c r="G9" s="60"/>
      <c r="H9" s="20"/>
      <c r="I9" s="7" t="str">
        <f>IF(OR($B6="C",$B7="C",$B8="C",$B9="C",$B10="C",$B11="C",$B12="C"),"-",IF(OR($B6="C1/2",$B7="C1/2",$B8="C1/2",$B9="C1/2",$B10="C1/2",$B11="C1/2",$B12="C1/2"),"-","C"))</f>
        <v>C</v>
      </c>
      <c r="J9" s="8" t="str">
        <f>IF($I9="-","",IF($I8="-","BAR",IF(AND($I7="-",$D12="-"),"CAI",IF($J8="CAI","BAR","BUR"))))</f>
        <v>BUR</v>
      </c>
      <c r="K9" s="13"/>
      <c r="L9" s="7" t="str">
        <f>IF(OR($B7="F",$B8="F",$B9="F",$B10="F",$B11="F",$B12="F",$B13="F"),"-","F")</f>
        <v>F</v>
      </c>
      <c r="M9" s="8" t="str">
        <f>IF($L9="-","","ENT")</f>
        <v>ENT</v>
      </c>
      <c r="N9" s="7" t="str">
        <f>IF(OR($B6="C",$B7="C",$B8="C",$B9="C",$B10="C",$B11="C",$B12="C"),"-","C")</f>
        <v>C</v>
      </c>
      <c r="O9" s="8" t="str">
        <f>IF($I9="-","",IF($I8="-","BAR",IF(AND($I7="-",$D12="-"),"CAI",IF($O8="CAI","BAR",IF($O8="BAR","BUR","BUR")))))</f>
        <v>BUR</v>
      </c>
      <c r="P9" s="13"/>
      <c r="Q9" s="53"/>
      <c r="R9" s="106" t="s">
        <v>4</v>
      </c>
      <c r="S9" s="77" t="s">
        <v>101</v>
      </c>
      <c r="T9" s="105" t="s">
        <v>3</v>
      </c>
    </row>
    <row r="10" spans="1:21" s="5" customFormat="1" ht="14" customHeight="1" thickTop="1" thickBot="1">
      <c r="A10" s="84"/>
      <c r="B10" s="6"/>
      <c r="C10" s="13"/>
      <c r="D10" s="9" t="str">
        <f>IF(OR($B6="FL",$B7="FL",$B8="FL",$B9="FL",$B10="FL",$B11="FL",$B12="FL"),"-",IF(OR($B6="FL1/2",$B7="FL1/2",$B8="FL1/2",$B9="FL1/2",$B10="FL1/2",$B11="FL1/2",$B12="FL1/2"),"-","FL"))</f>
        <v>-</v>
      </c>
      <c r="E10" s="45" t="str">
        <f>IF($D10="-","","ENT")</f>
        <v/>
      </c>
      <c r="F10" s="60"/>
      <c r="G10" s="60"/>
      <c r="H10" s="20"/>
      <c r="I10" s="41" t="str">
        <f>IF(OR($B6="St3",$B7="St3",$B8="St3",$B9="St3",$B10="St3",$B11="St3",$B12="St3"),"-",IF(OR($B6="St31/2",$B7="St31/2",$B8="St31/2",$B9="St31/2",$B10="St31/2",$B11="St31/2",$B12="St31/2"),"-","St3"))</f>
        <v>St3</v>
      </c>
      <c r="J10" s="38" t="str">
        <f>IF($I10="-","",IF($I10="Stagiaire3","LOU",""))</f>
        <v/>
      </c>
      <c r="K10" s="13"/>
      <c r="L10" s="7" t="str">
        <f>IF(OR($B8="FL",$B9="FL",$B10="FL",$B11="FL",$B12="FL",$B13="FL",$B14="FL"),"-","FL")</f>
        <v>-</v>
      </c>
      <c r="M10" s="8" t="str">
        <f>IF($L10="-","","ENT")</f>
        <v/>
      </c>
      <c r="N10" s="41" t="str">
        <f>IF(OR($B7="St3",$B8="St3",$B9="St3",$B10="St3",$B11="St3",$B12="St3",$B13="St3"),"-",IF(OR($B7="St31/2",$B8="St31/2",$B9="St31/2",$B10="St31/2",$B11="St31/2",$B12="St31/2",$B13="St31/2"),"-","St3"))</f>
        <v>St3</v>
      </c>
      <c r="O10" s="38" t="str">
        <f>IF($I10="-","",IF($I10="Stagiaire3","LOU",""))</f>
        <v/>
      </c>
      <c r="P10" s="13"/>
      <c r="Q10" s="96"/>
      <c r="R10" s="95" t="s">
        <v>0</v>
      </c>
      <c r="S10" s="103" t="s">
        <v>2</v>
      </c>
      <c r="T10" s="104" t="s">
        <v>1</v>
      </c>
    </row>
    <row r="11" spans="1:21" s="5" customFormat="1" ht="14" customHeight="1" thickTop="1">
      <c r="A11" s="84"/>
      <c r="B11" s="47"/>
      <c r="C11" s="13"/>
      <c r="D11" s="7" t="str">
        <f>IF(OR($B6="A",$B7="A",$B8="A",$B9="A",$B10="A",$B11="A",$B12="A"),"-",IF(OR($B6="A1/2",$B7="A1/2",$B8="A1/2",$B9="A1/2",$B10="A1/2",$B11="A1/2",$B12="A1/2"),"-","A"))</f>
        <v>A</v>
      </c>
      <c r="E11" s="45" t="str">
        <f>IF($D11="-","",IF(AND($D12="-",$J12=""),"LOU",IF(AND($D12="-",$J12="LOU"),"LST",IF(AND($E12="CAI",$J12="LOU"),"LST",IF(AND($E7="Bassin",$E6=""),"PCig",IF(AND($J12="",$E7="PCig",$J6=""),"Anx","LST"))))))</f>
        <v>LOU</v>
      </c>
      <c r="F11" s="52"/>
      <c r="G11" s="52"/>
      <c r="H11" s="20"/>
      <c r="I11" s="41" t="str">
        <f>IF(OR($B7="St2",$B8="St2",$B9="St2",$B10="St2",$B11="St2",$B12="St2",$B13="St2"),"-",IF(OR($B7="St21/2",$B8="St21/2",$B9="St21/2",$B10="St21/2",$B11="St21/2",$B12="St21/2",$B13="St21/2"),"-","St2"))</f>
        <v>St2</v>
      </c>
      <c r="J11" s="38" t="str">
        <f>IF($I11="-","",IF($I11="Stagiaire2","LOU",""))</f>
        <v/>
      </c>
      <c r="K11" s="13"/>
      <c r="L11" s="7" t="str">
        <f>IF(OR($B6="A",$B7="A",$B8="A",$B9="A",$B10="A",$B11="A",$B12="A"),"-","A")</f>
        <v>A</v>
      </c>
      <c r="M11" s="8" t="str">
        <f>IF($L11="-","",IF(AND($L12="-",$O12=""),"LOU",IF(AND($M12="CAI",$O12=""),,IF(AND($M12="-",$O12="LOU"),"LST",IF(AND($O12="LOU",$M12="CAI"),"LST",IF(AND($O12="LOU",$M12=""),"LST",IF(AND($L6="-",$L7="-"),"SP2",IF(AND($L6="-",$L8="-"),"SP2","LST"))))))))</f>
        <v>LOU</v>
      </c>
      <c r="N11" s="41" t="str">
        <f>IF(OR($B8="St2",$B9="St2",$B10="St2",$B11="St2",$B12="St2",$B13="St2",$B14="St2"),"-",IF(OR($B8="St21/2",$B9="St21/2",$B10="St21/2",$B11="St21/2",$B12="St21/2",$B13="St21/2",$B14="St21/2"),"-","St2"))</f>
        <v>St2</v>
      </c>
      <c r="O11" s="38" t="str">
        <f>IF($I11="-","",IF($I11="Stagiaire2","LOU",""))</f>
        <v/>
      </c>
      <c r="P11" s="13"/>
      <c r="Q11" s="63"/>
      <c r="R11" s="64" t="s">
        <v>89</v>
      </c>
      <c r="S11" s="66" t="s">
        <v>84</v>
      </c>
      <c r="T11" s="67" t="s">
        <v>88</v>
      </c>
    </row>
    <row r="12" spans="1:21" s="5" customFormat="1" ht="14" customHeight="1">
      <c r="A12" s="75" t="s">
        <v>112</v>
      </c>
      <c r="B12" s="70" t="s">
        <v>21</v>
      </c>
      <c r="C12" s="13"/>
      <c r="D12" s="10" t="str">
        <f>IF(OR($B6="AL",$B7="AL",$B8="AL",$B9="AL",$B10="AL",$B11="AL",$B12="AL"),"-",IF(OR($B6="AL1/2",$B7="AL1/2",$B8="AL1/2",$B9="AL1/2",$B10="AL1/2",$B11="AL1/2",$B12="AL1/2"),"-","AL"))</f>
        <v>-</v>
      </c>
      <c r="E12" s="46" t="str">
        <f>IF($D12="-","",IF(AND($I7="-",$I8="-",$J12="LOU"),"CAI",IF(AND($J8="CAI",$J12="LOU"),"LST",IF($J12="","LOU",IF(AND($I7="-",$I8="-"),"CAI","LST")))))</f>
        <v/>
      </c>
      <c r="F12" s="37"/>
      <c r="G12" s="37"/>
      <c r="H12" s="51"/>
      <c r="I12" s="78" t="s">
        <v>96</v>
      </c>
      <c r="J12" s="39" t="str">
        <f>IF($I12="-","",IF($I12="St1","",""))</f>
        <v/>
      </c>
      <c r="K12" s="13"/>
      <c r="L12" s="10" t="str">
        <f>IF(OR($B6="AL",$B7="AL",$B8="AL",$B9="AL",$B10="AL",$B11="AL",$B12="AL"),"-","AL")</f>
        <v>-</v>
      </c>
      <c r="M12" s="11" t="str">
        <f>IF($L12="-","",IF(AND($N7="-",$N12="-"),"LOU",IF(AND($N7="-",$N12="St1"),"CAI",IF($O12="LOU","BUR","LOU"))))</f>
        <v/>
      </c>
      <c r="N12" s="42" t="str">
        <f>IF(OR($B9="St1",$B10="St1",$B11="St1",$B12="St1",$B13="St1",$B14="St1",$B15="St1"),"-",IF(OR($B9="St11/2",$B10="St11/2",$B11="St11/2",$B12="St11/2",$B13="St11/2",$B14="St11/2",$B15="St11/2"),"-","St1"))</f>
        <v>St1</v>
      </c>
      <c r="O12" s="39" t="str">
        <f>IF($I12="-","",IF($I12="St1","",""))</f>
        <v/>
      </c>
      <c r="P12" s="13"/>
      <c r="Q12" s="62"/>
      <c r="R12" s="59" t="s">
        <v>87</v>
      </c>
      <c r="S12" s="77" t="str">
        <f>IF($E11="LOU","A",IF($E12="LOU","AL",IF($J12="LOU","ST","QUI")))</f>
        <v>A</v>
      </c>
      <c r="T12" s="77" t="str">
        <f>IF(AND($A12="*",$M11="LOU"),"A",IF(AND($A12="*",$M12="LOU"),"AL",IF(AND($A12="*",$O12="LOU"),"ST",IF($E11="LOU","A",IF($E12="LOU","AL",IF($J12="LOU","ST","QUI"))))))</f>
        <v>A</v>
      </c>
    </row>
    <row r="13" spans="1:21" s="18" customFormat="1" ht="4" customHeight="1">
      <c r="A13" s="14"/>
      <c r="B13" s="15"/>
      <c r="C13" s="13"/>
      <c r="D13" s="16"/>
      <c r="E13" s="13"/>
      <c r="F13" s="13"/>
      <c r="G13" s="52"/>
      <c r="H13" s="52"/>
      <c r="I13" s="13"/>
      <c r="J13" s="13"/>
      <c r="K13" s="13"/>
      <c r="L13" s="16"/>
      <c r="M13" s="13"/>
      <c r="N13" s="13"/>
      <c r="O13" s="13"/>
      <c r="P13" s="13"/>
    </row>
    <row r="14" spans="1:21" s="5" customFormat="1" ht="14" customHeight="1" thickBot="1">
      <c r="A14" s="82">
        <f>G2+1</f>
        <v>41415</v>
      </c>
      <c r="B14" s="2" t="s">
        <v>94</v>
      </c>
      <c r="C14" s="20"/>
      <c r="D14" s="3" t="str">
        <f>IF(OR($B14="J",$B15="J",$B16="J",$B17="J",$B18="J",$B19="J",$B20="J"),"-",IF(OR($B14="J1/2",$B15="J1/2",$B16="J1/2",$B17="J1/2",$B18="J1/2",$B19="J1/2",$B20="J1/2"),"-","J"))</f>
        <v>J</v>
      </c>
      <c r="E14" s="44" t="str">
        <f>IF($D14="-","","PCig")</f>
        <v>PCig</v>
      </c>
      <c r="F14" s="36"/>
      <c r="G14" s="36"/>
      <c r="H14" s="50"/>
      <c r="I14" s="3" t="str">
        <f>IF(OR($B14="M",$B15="M",$B16="M",$B17="M",$B18="M",$B19="M",$B20="M"),"-",IF(OR($B14="M1/2",$B15="M1/2",$B16="M1/2",$B17="M1/2",$B18="M1/2",$B19="M1/2",$B20="M1/2"),"-","M"))</f>
        <v>M</v>
      </c>
      <c r="J14" s="4" t="str">
        <f>IF($I14="-","",IF($D15="-","Anx",IF($E15="Pcig","Anx","BUR")))</f>
        <v>Anx</v>
      </c>
      <c r="K14" s="60"/>
      <c r="L14" s="3" t="str">
        <f>IF(OR($B14="J",$B15="J",$B16="J",$B17="J",$B18="J",$B19="J",$B20="J"),"-","J")</f>
        <v>J</v>
      </c>
      <c r="M14" s="4" t="str">
        <f>IF($L14="-","",IF($O17="SP2","LST",IF(AND($L15="-",$L20="-"),"SP2",IF(AND($L16="-",$M19="LOU"),"SP2",IF(AND($M20="CAI",$M19="LOU"),"SP2","SP2")))))</f>
        <v>SP2</v>
      </c>
      <c r="N14" s="3" t="str">
        <f>IF(OR($B13="M",$B14="M",$B15="M",$B16="M",$B17="M",$B18="M",$B19="M"),"-","M")</f>
        <v>M</v>
      </c>
      <c r="O14" s="21" t="str">
        <f>IF($N14="-","",IF(AND($M19="LOU",$M16=""),"SP2",IF(AND($M19="LOU",$M20="CAI",$M16="SP3"),"BUR",IF(AND($M19="LOU",$M20="CAI",$M16="SP1"),"SP2",IF(AND($L15="-",$L19="-"),"SP2","SP3")))))</f>
        <v>SP3</v>
      </c>
      <c r="P14" s="60"/>
      <c r="Q14" s="35"/>
      <c r="R14" s="26"/>
      <c r="S14" s="65" t="s">
        <v>82</v>
      </c>
      <c r="T14" s="100" t="s">
        <v>84</v>
      </c>
    </row>
    <row r="15" spans="1:21" s="5" customFormat="1" ht="14" customHeight="1" thickTop="1">
      <c r="A15" s="83"/>
      <c r="B15" s="6" t="s">
        <v>102</v>
      </c>
      <c r="C15" s="20"/>
      <c r="D15" s="7" t="str">
        <f>IF(OR($B14="W",$B15="W",$B16="W",$B17="W",$B18="W",$B19="W",$B20="W"),"-",IF(OR($B$6="W1/2",$B15="W1/2",$B16="W1/2",$B17="W1/2",$B18="W1/2",$B19="W1/2",$B20="W1/2"),"-","W"))</f>
        <v>-</v>
      </c>
      <c r="E15" s="45" t="str">
        <f>IF($D15="-","",IF($D14="-","PCig",IF($E14="PCig","Anx","LST")))</f>
        <v/>
      </c>
      <c r="F15" s="60"/>
      <c r="G15" s="60"/>
      <c r="H15" s="20"/>
      <c r="I15" s="71" t="str">
        <f>IF(OR($B14="H",$B15="H",$B16="H",$B17="H",$B18="H",$B19="H",$B20="H"),"-",IF(OR($B14="H1/2",$B15="H1/2",$B16="H1/2",$B17="H1/2",$B18="H1/2",$B19="H1/2",$B20="H1/2"),"-","H"))</f>
        <v>H</v>
      </c>
      <c r="J15" s="73" t="str">
        <f>IF($I15="-","","CAI")</f>
        <v>CAI</v>
      </c>
      <c r="K15" s="60"/>
      <c r="L15" s="7" t="str">
        <f>IF(OR($B14="W",$B15="W",$B16="W",$B17="W",$B18="W",$B19="W",$B20="W"),"-","W")</f>
        <v>-</v>
      </c>
      <c r="M15" s="8" t="str">
        <f>IF($L15="-","","SP1")</f>
        <v/>
      </c>
      <c r="N15" s="71" t="str">
        <f>IF(OR($B14="H",$B15="H",$B16="H",$B17="H",$B18="H",$B19="H",$B20="H"),"-","H")</f>
        <v>H</v>
      </c>
      <c r="O15" s="72" t="str">
        <f>IF($N15="-","","CAI")</f>
        <v>CAI</v>
      </c>
      <c r="P15" s="60"/>
      <c r="Q15" s="54"/>
      <c r="R15" s="57" t="s">
        <v>81</v>
      </c>
      <c r="S15" s="98" t="str">
        <f>IF(AND($A20="*",$J15="CAI"),"H",IF(AND($A20="*",$J16="CAI"),"V",IF(AND($A20="*",$E20="CAI"),"AL","-")))</f>
        <v>-</v>
      </c>
      <c r="T15" s="101" t="s">
        <v>6</v>
      </c>
    </row>
    <row r="16" spans="1:21" s="5" customFormat="1" ht="14" customHeight="1" thickBot="1">
      <c r="A16" s="85" t="s">
        <v>33</v>
      </c>
      <c r="B16" s="6" t="s">
        <v>98</v>
      </c>
      <c r="C16" s="20"/>
      <c r="D16" s="7" t="str">
        <f>IF(OR($B14="T",$B15="T",$B16="T",$B17="T",$B18="T",$B19="T",$B20="T"),"-",IF(OR($B14="T1/2",$B15="T1/2",$B16="T1/2",$B17="T1/2",$B18="T1/2",$B19="T1/2",$B20="T1/2"),"-","T"))</f>
        <v>T</v>
      </c>
      <c r="E16" s="45" t="str">
        <f>IF($D16="-","",IF(AND($E19="LOU",$D15="-",$J14=""),"Anx",IF(AND($D15="-",$J14=""),"Anx","LST")))</f>
        <v>LST</v>
      </c>
      <c r="F16" s="60"/>
      <c r="G16" s="60"/>
      <c r="H16" s="20"/>
      <c r="I16" s="7" t="str">
        <f>IF(OR($B14="V",$B15="V",$B16="V",$B17="V",$B18="V",$B19="V",$B20="V"),"-",IF(OR($B14="V1/2",$B15="V1/2",$B16="V1/2",$B17="V1/2",$B18="V1/2",$B19="V1/2",$B20="V1/2"),"-","V"))</f>
        <v>-</v>
      </c>
      <c r="J16" s="8" t="str">
        <f>IF($I16="-","",IF(AND($I15="-",$D20="-"),"CAI","BAR"))</f>
        <v/>
      </c>
      <c r="K16" s="60"/>
      <c r="L16" s="7" t="str">
        <f>IF(OR($B14="T",$B15="T",$B16="T",$B17="T",$B18="T",$B19="T",$B20="T"),"-","T")</f>
        <v>T</v>
      </c>
      <c r="M16" s="8" t="str">
        <f>IF($L16="-","",IF($L15="-","SP1",IF(AND($M19="LOU",$N14="-",$M14="SP2"),"LST",IF(AND($M19="LOU",$N14="-",$L14="-"),"SP2",IF($L14="-","LST","LST")))))</f>
        <v>SP1</v>
      </c>
      <c r="N16" s="7" t="str">
        <f>IF(OR($B14="V",$B15="V",$B16="V",$B17="V",$B18="V",$B19="V",$B20="V"),"-","V")</f>
        <v>-</v>
      </c>
      <c r="O16" s="22" t="str">
        <f>IF($N16="-","",IF(AND($N15="-",$N20="-"),"CAI","BAR"))</f>
        <v/>
      </c>
      <c r="P16" s="60"/>
      <c r="Q16" s="53"/>
      <c r="R16" s="58" t="s">
        <v>86</v>
      </c>
      <c r="S16" s="99" t="s">
        <v>5</v>
      </c>
      <c r="T16" s="102" t="s">
        <v>5</v>
      </c>
    </row>
    <row r="17" spans="1:20" s="5" customFormat="1" ht="14" customHeight="1" thickTop="1" thickBot="1">
      <c r="A17" s="85"/>
      <c r="B17" s="6"/>
      <c r="C17" s="20"/>
      <c r="D17" s="7" t="str">
        <f>IF(OR($B14="F",$B15="F",$B16="F",$B17="F",$B18="F",$B19="F",$B20="F"),"-",IF(OR($B14="F1/2",$B15="F1/2",$B16="F1/2",$B17="F1/2",$B18="F1/2",$B19="F1/2",$B20="F1/2"),"-","F"))</f>
        <v>F</v>
      </c>
      <c r="E17" s="45" t="str">
        <f>IF($D17="-","","ENT")</f>
        <v>ENT</v>
      </c>
      <c r="F17" s="60"/>
      <c r="G17" s="60"/>
      <c r="H17" s="20"/>
      <c r="I17" s="7" t="str">
        <f>IF(OR($B14="C",$B15="C",$B16="C",$B17="C",$B18="C",$B19="C",$B20="C"),"-",IF(OR($B14="C1/2",$B15="C1/2",$B16="C1/2",$B17="C1/2",$B18="C1/2",$B19="C1/2",$B20="C1/2"),"-","C"))</f>
        <v>C</v>
      </c>
      <c r="J17" s="8" t="str">
        <f>IF($I17="-","",IF($I16="-","BAR",IF(AND($I15="-",$D20="-"),"CAI",IF($J16="CAI","BAR","BUR"))))</f>
        <v>BAR</v>
      </c>
      <c r="K17" s="60"/>
      <c r="L17" s="7" t="str">
        <f>IF(OR($B15="F",$B16="F",$B17="F",$B18="F",$B19="F",$B20="F",$B21="F"),"-","F")</f>
        <v>F</v>
      </c>
      <c r="M17" s="8" t="str">
        <f>IF($L17="-","","ENT")</f>
        <v>ENT</v>
      </c>
      <c r="N17" s="7" t="str">
        <f>IF(OR($B14="C",$B15="C",$B16="C",$B17="C",$B18="C",$B19="C",$B20="C"),"-","C")</f>
        <v>C</v>
      </c>
      <c r="O17" s="8" t="str">
        <f>IF($I17="-","",IF($I16="-","BAR",IF(AND($I15="-",$D20="-"),"CAI",IF($O16="CAI","BAR",IF($O16="BAR","BUR","BUR")))))</f>
        <v>BAR</v>
      </c>
      <c r="P17" s="60"/>
      <c r="Q17" s="53"/>
      <c r="R17" s="106" t="s">
        <v>4</v>
      </c>
      <c r="S17" s="77" t="s">
        <v>8</v>
      </c>
      <c r="T17" s="105" t="s">
        <v>3</v>
      </c>
    </row>
    <row r="18" spans="1:20" s="5" customFormat="1" ht="14" customHeight="1" thickTop="1" thickBot="1">
      <c r="A18" s="85"/>
      <c r="B18" s="6"/>
      <c r="C18" s="13"/>
      <c r="D18" s="9" t="str">
        <f>IF(OR($B14="FL",$B15="FL",$B16="FL",$B17="FL",$B18="FL",$B19="FL",$B20="FL"),"-",IF(OR($B14="FL1/2",$B15="FL1/2",$B16="FL1/2",$B17="FL1/2",$B18="FL1/2",$B19="FL1/2",$B20="FL1/2"),"-","FL"))</f>
        <v>-</v>
      </c>
      <c r="E18" s="45" t="str">
        <f>IF($D18="-","","ENT")</f>
        <v/>
      </c>
      <c r="F18" s="60"/>
      <c r="G18" s="60"/>
      <c r="H18" s="20"/>
      <c r="I18" s="41" t="str">
        <f>IF(OR($B14="St3",$B15="St3",$B16="St3",$B17="St3",$B18="St3",$B19="St3",$B20="St3"),"-",IF(OR($B14="St31/2",$B15="St31/2",$B16="St31/2",$B17="St31/2",$B18="St31/2",$B19="St31/2",$B20="St31/2"),"-","St3"))</f>
        <v>St3</v>
      </c>
      <c r="J18" s="38" t="str">
        <f>IF($I18="-","",IF($I18="Stagiaire3","LOU",""))</f>
        <v/>
      </c>
      <c r="K18" s="60"/>
      <c r="L18" s="7" t="str">
        <f>IF(OR($B16="FL",$B17="FL",$B18="FL",$B19="FL",$B20="FL",$B21="FL",$B22="FL"),"-","FL")</f>
        <v>-</v>
      </c>
      <c r="M18" s="8" t="str">
        <f>IF($L18="-","","ENT")</f>
        <v/>
      </c>
      <c r="N18" s="41" t="str">
        <f>IF(OR($B15="St3",$B16="St3",$B17="St3",$B18="St3",$B19="St3",$B20="St3",$B21="St3"),"-",IF(OR($B15="St31/2",$B16="St31/2",$B17="St31/2",$B18="St31/2",$B19="St31/2",$B20="St31/2",$B21="St31/2"),"-","St3"))</f>
        <v>St3</v>
      </c>
      <c r="O18" s="38" t="str">
        <f>IF($I18="-","",IF($I18="Stagiaire3","LOU",""))</f>
        <v/>
      </c>
      <c r="P18" s="60"/>
      <c r="Q18" s="96"/>
      <c r="R18" s="95" t="s">
        <v>0</v>
      </c>
      <c r="S18" s="103" t="s">
        <v>7</v>
      </c>
      <c r="T18" s="104" t="s">
        <v>7</v>
      </c>
    </row>
    <row r="19" spans="1:20" s="5" customFormat="1" ht="14" customHeight="1" thickTop="1">
      <c r="A19" s="85"/>
      <c r="B19" s="47"/>
      <c r="C19" s="13"/>
      <c r="D19" s="7" t="str">
        <f>IF(OR($B14="A",$B15="A",$B16="A",$B17="A",$B18="A",$B19="A",$B20="A"),"-",IF(OR($B14="A1/2",$B15="A1/2",$B16="A1/2",$B17="A1/2",$B18="A1/2",$B19="A1/2",$B20="A1/2"),"-","A"))</f>
        <v>A</v>
      </c>
      <c r="E19" s="45" t="str">
        <f>IF($D19="-","",IF(AND($D20="-",$J20=""),"LOU",IF(AND($D20="-",$J20="LOU"),"LST",IF(AND($E20="CAI",$J20="LOU"),"LST",IF(AND($E15="Bassin",$E14=""),"PCig",IF(AND($J20="",$E15="PCig",$J14=""),"Anx","LST"))))))</f>
        <v>LOU</v>
      </c>
      <c r="F19" s="60"/>
      <c r="G19" s="60"/>
      <c r="H19" s="20"/>
      <c r="I19" s="41" t="str">
        <f>IF(OR($B15="St2",$B16="St2",$B17="St2",$B18="St2",$B19="St2",$B20="St2",$B21="St2"),"-",IF(OR($B15="St21/2",$B16="St21/2",$B17="St21/2",$B18="St21/2",$B19="St21/2",$B20="St21/2",$B21="St21/2"),"-","St2"))</f>
        <v>St2</v>
      </c>
      <c r="J19" s="38" t="str">
        <f>IF($I19="-","",IF($I19="Stagiaire2","LOU",""))</f>
        <v/>
      </c>
      <c r="K19" s="60"/>
      <c r="L19" s="7" t="str">
        <f>IF(OR($B14="A",$B15="A",$B16="A",$B17="A",$B18="A",$B19="A",$B20="A"),"-","A")</f>
        <v>A</v>
      </c>
      <c r="M19" s="8" t="str">
        <f>IF($L19="-","",IF(AND($L20="-",$O20=""),"LOU",IF(AND($M20="CAI",$O20=""),,IF(AND($M20="-",$O20="LOU"),"LST",IF(AND($O20="LOU",$M20="CAI"),"LST",IF(AND($O20="LOU",$M20=""),"LST",IF(AND($L14="-",$L15="-"),"SP2",IF(AND($L14="-",$L16="-"),"SP2","LST"))))))))</f>
        <v>LOU</v>
      </c>
      <c r="N19" s="41" t="str">
        <f>IF(OR($B16="St2",$B17="St2",$B18="St2",$B19="St2",$B20="St2",$B21="St2",$B22="St2"),"-",IF(OR($B16="St21/2",$B17="St21/2",$B18="St21/2",$B19="St21/2",$B20="St21/2",$B21="St21/2",$B22="St21/2"),"-","St2"))</f>
        <v>St2</v>
      </c>
      <c r="O19" s="38" t="str">
        <f>IF($I19="-","",IF($I19="Stagiaire2","LOU",""))</f>
        <v/>
      </c>
      <c r="P19" s="60"/>
      <c r="Q19" s="63"/>
      <c r="R19" s="64" t="s">
        <v>89</v>
      </c>
      <c r="S19" s="66" t="s">
        <v>15</v>
      </c>
      <c r="T19" s="67" t="s">
        <v>3</v>
      </c>
    </row>
    <row r="20" spans="1:20" s="5" customFormat="1" ht="14" customHeight="1">
      <c r="A20" s="74"/>
      <c r="B20" s="48" t="s">
        <v>22</v>
      </c>
      <c r="C20" s="13"/>
      <c r="D20" s="10" t="str">
        <f>IF(OR($B14="AL",$B15="AL",$B16="AL",$B17="AL",$B18="AL",$B19="AL",$B20="AL"),"-",IF(OR($B14="AL1/2",$B15="AL1/2",$B16="AL1/2",$B17="AL1/2",$B18="AL1/2",$B19="AL1/2",$B20="AL1/2"),"-","AL"))</f>
        <v>-</v>
      </c>
      <c r="E20" s="46" t="str">
        <f>IF($D20="-","",IF(I15="-","CAI",IF(AND($I15="-",$I16="-",$J20="LOU"),"CAI",IF(AND($J16="CAI",$J20="LOU"),"LST",IF($J20="","LOU",IF(AND($I15="-",$I16="-"),"CAI","LST"))))))</f>
        <v/>
      </c>
      <c r="F20" s="37"/>
      <c r="G20" s="37"/>
      <c r="H20" s="51"/>
      <c r="I20" s="42" t="str">
        <f>IF(OR($B16="St1",$B17="St1",$B18="St1",$B19="St1",$B20="St1",$B21="St1",$B22="St1"),"-",IF(OR($B16="St11/2",$B17="St11/2",$B18="St11/2",$B19="St11/2",$B20="St11/2",$B21="St11/2",$B22="St11/2"),"-","St1"))</f>
        <v>St1</v>
      </c>
      <c r="J20" s="39" t="str">
        <f>IF($I20="-","",IF($I20="St1","",""))</f>
        <v/>
      </c>
      <c r="K20" s="60"/>
      <c r="L20" s="10" t="str">
        <f>IF(OR($B14="AL",$B15="AL",$B16="AL",$B17="AL",$B18="AL",$B19="AL",$B20="AL"),"-","AL")</f>
        <v>-</v>
      </c>
      <c r="M20" s="11" t="str">
        <f>IF($L20="-","",IF(AND($N15="-",$N20="-"),"LOU",IF(AND($N15="-",$N20="St1"),"CAI",IF($O20="LOU","BUR","LOU"))))</f>
        <v/>
      </c>
      <c r="N20" s="42" t="str">
        <f>IF(OR($B17="St1",$B18="St1",$B19="St1",$B20="St1",$B21="St1",$B22="St1",$B23="St1"),"-",IF(OR($B17="St11/2",$B18="St11/2",$B19="St11/2",$B20="St11/2",$B21="St11/2",$B22="St11/2",$B23="St11/2"),"-","St1"))</f>
        <v>St1</v>
      </c>
      <c r="O20" s="39" t="str">
        <f>IF($I20="-","",IF($I20="St1","",""))</f>
        <v/>
      </c>
      <c r="P20" s="60"/>
      <c r="Q20" s="62"/>
      <c r="R20" s="59" t="s">
        <v>87</v>
      </c>
      <c r="S20" s="77" t="str">
        <f>IF($E19="LOU","A",IF($E20="LOU","AL",IF($J20="LOU","ST","QUI")))</f>
        <v>A</v>
      </c>
      <c r="T20" s="77" t="str">
        <f>IF(AND($A20="*",$M19="LOU"),"A",IF(AND($A20="*",$M20="LOU"),"AL",IF(AND($A20="*",$O20="LOU"),"ST",IF(AND($A20="",$E19="LOU"),"-",IF(AND($A20="",$E20="LOU"),"-",IF(AND($A20="",$J20="LOU"),"-","QUI"))))))</f>
        <v>-</v>
      </c>
    </row>
    <row r="21" spans="1:20" s="18" customFormat="1" ht="4" customHeight="1">
      <c r="A21" s="14"/>
      <c r="B21" s="15"/>
      <c r="C21" s="13"/>
      <c r="D21" s="16"/>
      <c r="E21" s="60"/>
      <c r="F21" s="60"/>
      <c r="G21" s="60"/>
      <c r="H21" s="60"/>
      <c r="I21" s="60"/>
      <c r="J21" s="60"/>
      <c r="K21" s="60"/>
      <c r="L21" s="16"/>
      <c r="M21" s="60"/>
      <c r="N21" s="60"/>
      <c r="O21" s="60"/>
      <c r="P21" s="60"/>
    </row>
    <row r="22" spans="1:20" s="5" customFormat="1" ht="14" customHeight="1" thickBot="1">
      <c r="A22" s="82">
        <f>G2+2</f>
        <v>41416</v>
      </c>
      <c r="B22" s="2" t="s">
        <v>18</v>
      </c>
      <c r="C22" s="20"/>
      <c r="D22" s="3" t="str">
        <f>IF(OR($B22="J",$B23="J",$B24="J",$B25="J",$B26="J",$B27="J",$B28="J"),"-",IF(OR($B22="J1/2",$B23="J1/2",$B24="J1/2",$B25="J1/2",$B26="J1/2",$B27="J1/2",$B28="J1/2"),"-","J"))</f>
        <v>-</v>
      </c>
      <c r="E22" s="44" t="str">
        <f>IF($D22="-","","PCig")</f>
        <v/>
      </c>
      <c r="F22" s="36"/>
      <c r="G22" s="36"/>
      <c r="H22" s="50"/>
      <c r="I22" s="3" t="str">
        <f>IF(OR($B22="M",$B23="M",$B24="M",$B25="M",$B26="M",$B27="M",$B28="M"),"-",IF(OR($B22="M1/2",$B23="M1/2",$B24="M1/2",$B25="M1/2",$B26="M1/2",$B27="M1/2",$B28="M1/2"),"-","M"))</f>
        <v>M</v>
      </c>
      <c r="J22" s="4" t="str">
        <f>IF($I22="-","",IF($D23="-","Anx",IF($E23="Pcig","Anx","BUR")))</f>
        <v>Anx</v>
      </c>
      <c r="K22" s="60"/>
      <c r="L22" s="3" t="str">
        <f>IF(OR($B22="J",$B23="J",$B24="J",$B25="J",$B26="J",$B27="J",$B28="J"),"-","J")</f>
        <v>-</v>
      </c>
      <c r="M22" s="4" t="str">
        <f>IF($L22="-","",IF($O25="SP2","LST",IF(AND($L23="-",$L28="-"),"SP2",IF(AND($L24="-",$M27="LOU"),"SP2",IF(AND($M28="CAI",$M27="LOU"),"SP2","SP2")))))</f>
        <v/>
      </c>
      <c r="N22" s="3" t="str">
        <f>IF(OR($B21="M",$B22="M",$B23="M",$B24="M",$B25="M",$B26="M",$B27="M"),"-","M")</f>
        <v>M</v>
      </c>
      <c r="O22" s="21" t="str">
        <f>IF($N22="-","",IF(AND($M27="LOU",$M24=""),"SP2",IF(AND($M27="LOU",$M28="CAI",$M24="SP3"),"BUR",IF(AND($M27="LOU",$M28="CAI",$M24="SP1"),"SP2",IF(AND($L23="-",$L27="-"),"SP2","SP3")))))</f>
        <v>SP3</v>
      </c>
      <c r="P22" s="60"/>
      <c r="Q22" s="35"/>
      <c r="R22" s="26"/>
      <c r="S22" s="65" t="s">
        <v>82</v>
      </c>
      <c r="T22" s="100" t="s">
        <v>84</v>
      </c>
    </row>
    <row r="23" spans="1:20" s="5" customFormat="1" ht="14" customHeight="1" thickTop="1">
      <c r="A23" s="83"/>
      <c r="B23" s="6" t="s">
        <v>97</v>
      </c>
      <c r="C23" s="20"/>
      <c r="D23" s="7" t="str">
        <f>IF(OR($B22="W",$B23="W",$B24="W",$B25="W",$B26="W",$B27="W",$B28="W"),"-",IF(OR($B$6="W1/2",$B23="W1/2",$B24="W1/2",$B25="W1/2",$B26="W1/2",$B27="W1/2",$B28="W1/2"),"-","W"))</f>
        <v>W</v>
      </c>
      <c r="E23" s="45" t="str">
        <f>IF($D23="-","",IF($D22="-","PCig",IF($E22="PCig","Anx","LST")))</f>
        <v>PCig</v>
      </c>
      <c r="F23" s="60"/>
      <c r="G23" s="60"/>
      <c r="H23" s="20"/>
      <c r="I23" s="71" t="str">
        <f>IF(OR($B22="H",$B23="H",$B24="H",$B25="H",$B26="H",$B27="H",$B28="H"),"-",IF(OR($B22="H1/2",$B23="H1/2",$B24="H1/2",$B25="H1/2",$B26="H1/2",$B27="H1/2",$B28="H1/2"),"-","H"))</f>
        <v>H</v>
      </c>
      <c r="J23" s="73" t="str">
        <f>IF($I23="-","","CAI")</f>
        <v>CAI</v>
      </c>
      <c r="K23" s="60"/>
      <c r="L23" s="7" t="str">
        <f>IF(OR($B22="W",$B23="W",$B24="W",$B25="W",$B26="W",$B27="W",$B28="W"),"-","W")</f>
        <v>W</v>
      </c>
      <c r="M23" s="8" t="str">
        <f>IF($L23="-","","SP1")</f>
        <v>SP1</v>
      </c>
      <c r="N23" s="71" t="str">
        <f>IF(OR($B22="H",$B23="H",$B24="H",$B25="H",$B26="H",$B27="H",$B28="H"),"-","H")</f>
        <v>H</v>
      </c>
      <c r="O23" s="72" t="str">
        <f>IF($N23="-","","CAI")</f>
        <v>CAI</v>
      </c>
      <c r="P23" s="60"/>
      <c r="Q23" s="54"/>
      <c r="R23" s="57" t="s">
        <v>81</v>
      </c>
      <c r="S23" s="98" t="str">
        <f>IF(AND($A28="*",$J23="CAI"),"H",IF(AND($A28="*",$J24="CAI"),"V",IF(AND($A28="*",$E28="CAI"),"AL","-")))</f>
        <v>-</v>
      </c>
      <c r="T23" s="101" t="s">
        <v>6</v>
      </c>
    </row>
    <row r="24" spans="1:20" s="5" customFormat="1" ht="14" customHeight="1" thickBot="1">
      <c r="A24" s="85" t="s">
        <v>34</v>
      </c>
      <c r="B24" s="6" t="s">
        <v>99</v>
      </c>
      <c r="C24" s="20"/>
      <c r="D24" s="7" t="str">
        <f>IF(OR($B22="T",$B23="T",$B24="T",$B25="T",$B26="T",$B27="T",$B28="T"),"-",IF(OR($B22="T1/2",$B23="T1/2",$B24="T1/2",$B25="T1/2",$B26="T1/2",$B27="T1/2",$B28="T1/2"),"-","T"))</f>
        <v>-</v>
      </c>
      <c r="E24" s="45" t="str">
        <f>IF($D24="-","",IF(AND($E27="LOU",$D23="-",$J22=""),"Anx",IF(AND($D23="-",$J22=""),"Anx","LST")))</f>
        <v/>
      </c>
      <c r="F24" s="60"/>
      <c r="G24" s="60"/>
      <c r="H24" s="20"/>
      <c r="I24" s="7" t="str">
        <f>IF(OR($B22="V",$B23="V",$B24="V",$B25="V",$B26="V",$B27="V",$B28="V"),"-",IF(OR($B22="V1/2",$B23="V1/2",$B24="V1/2",$B25="V1/2",$B26="V1/2",$B27="V1/2",$B28="V1/2"),"-","V"))</f>
        <v>-</v>
      </c>
      <c r="J24" s="8" t="str">
        <f>IF($I24="-","",IF(AND($I23="-",$D28="-"),"CAI","BAR"))</f>
        <v/>
      </c>
      <c r="K24" s="60"/>
      <c r="L24" s="7" t="str">
        <f>IF(OR($B22="T",$B23="T",$B24="T",$B25="T",$B26="T",$B27="T",$B28="T"),"-","T")</f>
        <v>-</v>
      </c>
      <c r="M24" s="8" t="str">
        <f>IF($L24="-","",IF($L23="-","SP1",IF(AND($M27="LOU",$N22="-",$M22="SP2"),"LST",IF(AND($M27="LOU",$N22="-",$L22="-"),"SP2",IF($L22="-","LST","LST")))))</f>
        <v/>
      </c>
      <c r="N24" s="7" t="str">
        <f>IF(OR($B22="V",$B23="V",$B24="V",$B25="V",$B26="V",$B27="V",$B28="V"),"-","V")</f>
        <v>-</v>
      </c>
      <c r="O24" s="22" t="str">
        <f>IF($N24="-","",IF(AND($N23="-",$N28="-"),"CAI","BAR"))</f>
        <v/>
      </c>
      <c r="P24" s="60"/>
      <c r="Q24" s="53"/>
      <c r="R24" s="58" t="s">
        <v>86</v>
      </c>
      <c r="S24" s="99" t="s">
        <v>5</v>
      </c>
      <c r="T24" s="102" t="s">
        <v>5</v>
      </c>
    </row>
    <row r="25" spans="1:20" s="5" customFormat="1" ht="14" customHeight="1" thickTop="1" thickBot="1">
      <c r="A25" s="85"/>
      <c r="B25" s="6"/>
      <c r="C25" s="20"/>
      <c r="D25" s="7" t="str">
        <f>IF(OR($B22="F",$B23="F",$B24="F",$B25="F",$B26="F",$B27="F",$B28="F"),"-",IF(OR($B22="F1/2",$B23="F1/2",$B24="F1/2",$B25="F1/2",$B26="F1/2",$B27="F1/2",$B28="F1/2"),"-","F"))</f>
        <v>F</v>
      </c>
      <c r="E25" s="45" t="str">
        <f>IF($D25="-","","ENT")</f>
        <v>ENT</v>
      </c>
      <c r="F25" s="60"/>
      <c r="G25" s="60"/>
      <c r="H25" s="20"/>
      <c r="I25" s="7" t="str">
        <f>IF(OR($B22="C",$B23="C",$B24="C",$B25="C",$B26="C",$B27="C",$B28="C"),"-",IF(OR($B22="C1/2",$B23="C1/2",$B24="C1/2",$B25="C1/2",$B26="C1/2",$B27="C1/2",$B28="C1/2"),"-","C"))</f>
        <v>C</v>
      </c>
      <c r="J25" s="8" t="str">
        <f>IF($I25="-","",IF($I24="-","BAR",IF(AND($I23="-",$D28="-"),"CAI",IF($J24="CAI","BAR","BUR"))))</f>
        <v>BAR</v>
      </c>
      <c r="K25" s="60"/>
      <c r="L25" s="7" t="str">
        <f>IF(OR($B23="F",$B24="F",$B25="F",$B26="F",$B27="F",$B28="F",$B29="F"),"-","F")</f>
        <v>F</v>
      </c>
      <c r="M25" s="8" t="str">
        <f>IF($L25="-","","ENT")</f>
        <v>ENT</v>
      </c>
      <c r="N25" s="7" t="str">
        <f>IF(OR($B22="C",$B23="C",$B24="C",$B25="C",$B26="C",$B27="C",$B28="C"),"-","C")</f>
        <v>C</v>
      </c>
      <c r="O25" s="8" t="str">
        <f>IF($I25="-","",IF($I24="-","BAR",IF(AND($I23="-",$D28="-"),"CAI",IF($O24="CAI","BAR",IF($O24="BAR","BUR","BUR")))))</f>
        <v>BAR</v>
      </c>
      <c r="P25" s="60"/>
      <c r="Q25" s="53"/>
      <c r="R25" s="106" t="s">
        <v>4</v>
      </c>
      <c r="S25" s="77" t="s">
        <v>8</v>
      </c>
      <c r="T25" s="105" t="s">
        <v>3</v>
      </c>
    </row>
    <row r="26" spans="1:20" s="5" customFormat="1" ht="14" customHeight="1" thickTop="1" thickBot="1">
      <c r="A26" s="85"/>
      <c r="B26" s="6"/>
      <c r="C26" s="13"/>
      <c r="D26" s="9" t="str">
        <f>IF(OR($B22="FL",$B23="FL",$B24="FL",$B25="FL",$B26="FL",$B27="FL",$B28="FL"),"-",IF(OR($B22="FL1/2",$B23="FL1/2",$B24="FL1/2",$B25="FL1/2",$B26="FL1/2",$B27="FL1/2",$B28="FL1/2"),"-","FL"))</f>
        <v>-</v>
      </c>
      <c r="E26" s="45" t="str">
        <f>IF($D26="-","","ENT")</f>
        <v/>
      </c>
      <c r="F26" s="60"/>
      <c r="G26" s="60"/>
      <c r="H26" s="20"/>
      <c r="I26" s="41" t="str">
        <f>IF(OR($B22="St3",$B23="St3",$B24="St3",$B25="St3",$B26="St3",$B27="St3",$B28="St3"),"-",IF(OR($B22="St31/2",$B23="St31/2",$B24="St31/2",$B25="St31/2",$B26="St31/2",$B27="St31/2",$B28="St31/2"),"-","St3"))</f>
        <v>St3</v>
      </c>
      <c r="J26" s="38" t="str">
        <f>IF($I26="-","",IF($I26="Stagiaire3","LOU",""))</f>
        <v/>
      </c>
      <c r="K26" s="60"/>
      <c r="L26" s="7" t="str">
        <f>IF(OR($B24="FL",$B25="FL",$B26="FL",$B27="FL",$B28="FL",$B29="FL",$B30="FL"),"-","FL")</f>
        <v>-</v>
      </c>
      <c r="M26" s="8" t="str">
        <f>IF($L26="-","","ENT")</f>
        <v/>
      </c>
      <c r="N26" s="41" t="str">
        <f>IF(OR($B23="St3",$B24="St3",$B25="St3",$B26="St3",$B27="St3",$B28="St3",$B29="St3"),"-",IF(OR($B23="St31/2",$B24="St31/2",$B25="St31/2",$B26="St31/2",$B27="St31/2",$B28="St31/2",$B29="St31/2"),"-","St3"))</f>
        <v>St3</v>
      </c>
      <c r="O26" s="38" t="str">
        <f>IF($I26="-","",IF($I26="Stagiaire3","LOU",""))</f>
        <v/>
      </c>
      <c r="P26" s="60"/>
      <c r="Q26" s="96"/>
      <c r="R26" s="95" t="s">
        <v>0</v>
      </c>
      <c r="S26" s="103" t="s">
        <v>7</v>
      </c>
      <c r="T26" s="104" t="s">
        <v>7</v>
      </c>
    </row>
    <row r="27" spans="1:20" s="5" customFormat="1" ht="14" customHeight="1" thickTop="1">
      <c r="A27" s="85"/>
      <c r="B27" s="47"/>
      <c r="C27" s="13"/>
      <c r="D27" s="7" t="str">
        <f>IF(OR($B22="A",$B23="A",$B24="A",$B25="A",$B26="A",$B27="A",$B28="A"),"-",IF(OR($B22="A1/2",$B23="A1/2",$B24="A1/2",$B25="A1/2",$B26="A1/2",$B27="A1/2",$B28="A1/2"),"-","A"))</f>
        <v>A</v>
      </c>
      <c r="E27" s="45" t="str">
        <f>IF($D27="-","",IF(AND($D28="-",$J28=""),"LOU",IF(AND($D28="-",$J28="LOU"),"LST",IF(AND($E28="CAI",$J28="LOU"),"LST",IF(AND($E23="Bassin",$E22=""),"PCig",IF(AND($J28="",$E23="PCig",$J22=""),"Anx","LST"))))))</f>
        <v>LST</v>
      </c>
      <c r="F27" s="60"/>
      <c r="G27" s="60"/>
      <c r="H27" s="20"/>
      <c r="I27" s="41" t="str">
        <f>IF(OR($B23="St2",$B24="St2",$B25="St2",$B26="St2",$B27="St2",$B28="St2",$B29="St2"),"-",IF(OR($B23="St21/2",$B24="St21/2",$B25="St21/2",$B26="St21/2",$B27="St21/2",$B28="St21/2",$B29="St21/2"),"-","St2"))</f>
        <v>St2</v>
      </c>
      <c r="J27" s="38" t="str">
        <f>IF($I27="-","",IF($I27="Stagiaire2","LOU",""))</f>
        <v/>
      </c>
      <c r="K27" s="60"/>
      <c r="L27" s="7" t="str">
        <f>IF(OR($B22="A",$B23="A",$B24="A",$B25="A",$B26="A",$B27="A",$B28="A"),"-","A")</f>
        <v>A</v>
      </c>
      <c r="M27" s="8" t="str">
        <f>IF($L27="-","",IF(AND($L28="-",$O28=""),"LOU",IF(AND($M28="CAI",$O28=""),,IF(AND($M28="-",$O28="LOU"),"LST",IF(AND($O28="LOU",$M28="CAI"),"LST",IF(AND($O28="LOU",$M28=""),"LST",IF(AND($L22="-",$L23="-"),"SP2",IF(AND($L22="-",$L24="-"),"SP2","LST"))))))))</f>
        <v>SP2</v>
      </c>
      <c r="N27" s="41" t="str">
        <f>IF(OR($B24="St2",$B25="St2",$B26="St2",$B27="St2",$B28="St2",$B29="St2",$B30="St2"),"-",IF(OR($B24="St21/2",$B25="St21/2",$B26="St21/2",$B27="St21/2",$B28="St21/2",$B29="St21/2",$B30="St21/2"),"-","St2"))</f>
        <v>St2</v>
      </c>
      <c r="O27" s="38" t="str">
        <f>IF($I27="-","",IF($I27="Stagiaire2","LOU",""))</f>
        <v/>
      </c>
      <c r="P27" s="60"/>
      <c r="Q27" s="63"/>
      <c r="R27" s="64" t="s">
        <v>89</v>
      </c>
      <c r="S27" s="66" t="s">
        <v>84</v>
      </c>
      <c r="T27" s="67" t="s">
        <v>88</v>
      </c>
    </row>
    <row r="28" spans="1:20" s="5" customFormat="1" ht="14" customHeight="1">
      <c r="A28" s="74"/>
      <c r="B28" s="48" t="s">
        <v>22</v>
      </c>
      <c r="C28" s="13"/>
      <c r="D28" s="10" t="str">
        <f>IF(OR($B22="AL",$B23="AL",$B24="AL",$B25="AL",$B26="AL",$B27="AL",$B28="AL"),"-",IF(OR($B22="AL1/2",$B23="AL1/2",$B24="AL1/2",$B25="AL1/2",$B26="AL1/2",$B27="AL1/2",$B28="AL1/2"),"-","AL"))</f>
        <v>AL</v>
      </c>
      <c r="E28" s="46" t="str">
        <f>IF($D28="-","",IF(I23="-","CAI",IF(AND($I23="-",$I24="-",$J28="LOU"),"CAI",IF(AND($J24="CAI",$J28="LOU"),"LST",IF($J28="","LOU",IF(AND($I23="-",$I24="-"),"CAI","LST"))))))</f>
        <v>LOU</v>
      </c>
      <c r="F28" s="37"/>
      <c r="G28" s="37"/>
      <c r="H28" s="51"/>
      <c r="I28" s="42" t="str">
        <f>IF(OR($B24="St1",$B25="St1",$B26="St1",$B27="St1",$B28="St1",$B29="St1",$B30="St1"),"-",IF(OR($B24="St11/2",$B25="St11/2",$B26="St11/2",$B27="St11/2",$B28="St11/2",$B29="St11/2",$B30="St11/2"),"-","St1"))</f>
        <v>St1</v>
      </c>
      <c r="J28" s="39" t="str">
        <f>IF($I28="-","",IF($I28="St1","",""))</f>
        <v/>
      </c>
      <c r="K28" s="60"/>
      <c r="L28" s="10" t="str">
        <f>IF(OR($B22="AL",$B23="AL",$B24="AL",$B25="AL",$B26="AL",$B27="AL",$B28="AL"),"-","AL")</f>
        <v>AL</v>
      </c>
      <c r="M28" s="11" t="str">
        <f>IF($L28="-","",IF(AND($N23="-",$N28="-"),"LOU",IF(AND($N23="-",$N28="St1"),"CAI",IF($O28="LOU","BUR","LOU"))))</f>
        <v>LOU</v>
      </c>
      <c r="N28" s="42" t="str">
        <f>IF(OR($B25="St1",$B26="St1",$B27="St1",$B28="St1",$B29="St1",$B30="St1",$B31="St1"),"-",IF(OR($B25="St11/2",$B26="St11/2",$B27="St11/2",$B28="St11/2",$B29="St11/2",$B30="St11/2",$B31="St11/2"),"-","St1"))</f>
        <v>St1</v>
      </c>
      <c r="O28" s="39" t="str">
        <f>IF($I28="-","",IF($I28="St1","",""))</f>
        <v/>
      </c>
      <c r="P28" s="60"/>
      <c r="Q28" s="62"/>
      <c r="R28" s="59" t="s">
        <v>87</v>
      </c>
      <c r="S28" s="77" t="str">
        <f>IF($E27="LOU","A",IF($E28="LOU","AL",IF($J28="LOU","ST","QUI")))</f>
        <v>AL</v>
      </c>
      <c r="T28" s="77" t="str">
        <f>IF(AND($A28="*",$M27="LOU"),"A",IF(AND($A28="*",$M28="LOU"),"AL",IF(AND($A28="*",$O28="LOU"),"ST",IF(AND($A28="",$E27="LOU"),"-",IF(AND($A28="",$E28="LOU"),"-",IF(AND($A28="",$J28="LOU"),"-","QUI"))))))</f>
        <v>-</v>
      </c>
    </row>
    <row r="29" spans="1:20" s="18" customFormat="1" ht="4" customHeight="1">
      <c r="A29" s="14"/>
      <c r="B29" s="15"/>
      <c r="C29" s="13"/>
      <c r="D29" s="16"/>
      <c r="E29" s="60"/>
      <c r="F29" s="60"/>
      <c r="G29" s="60"/>
      <c r="H29" s="60"/>
      <c r="I29" s="60"/>
      <c r="J29" s="60"/>
      <c r="K29" s="60"/>
      <c r="L29" s="16"/>
      <c r="M29" s="60"/>
      <c r="N29" s="60"/>
      <c r="O29" s="60"/>
      <c r="P29" s="60"/>
    </row>
    <row r="30" spans="1:20" s="5" customFormat="1" ht="14" customHeight="1" thickBot="1">
      <c r="A30" s="82">
        <f>G2+3</f>
        <v>41417</v>
      </c>
      <c r="B30" s="2" t="s">
        <v>93</v>
      </c>
      <c r="C30" s="20"/>
      <c r="D30" s="3" t="str">
        <f>IF(OR($B30="J",$B31="J",$B32="J",$B33="J",$B34="J",$B35="J",$B36="J"),"-",IF(OR($B30="J1/2",$B31="J1/2",$B32="J1/2",$B33="J1/2",$B34="J1/2",$B35="J1/2",$B36="J1/2"),"-","J"))</f>
        <v>J</v>
      </c>
      <c r="E30" s="44" t="str">
        <f>IF($D30="-","","PCig")</f>
        <v>PCig</v>
      </c>
      <c r="F30" s="36"/>
      <c r="G30" s="36"/>
      <c r="H30" s="50"/>
      <c r="I30" s="3" t="str">
        <f>IF(OR($B30="M",$B31="M",$B32="M",$B33="M",$B34="M",$B35="M",$B36="M"),"-",IF(OR($B30="M1/2",$B31="M1/2",$B32="M1/2",$B33="M1/2",$B34="M1/2",$B35="M1/2",$B36="M1/2"),"-","M"))</f>
        <v>M</v>
      </c>
      <c r="J30" s="4" t="str">
        <f>IF($I30="-","",IF($D31="-","Anx",IF($E31="Pcig","Anx","BUR")))</f>
        <v>BUR</v>
      </c>
      <c r="K30" s="60"/>
      <c r="L30" s="3" t="str">
        <f>IF(OR($B30="J",$B31="J",$B32="J",$B33="J",$B34="J",$B35="J",$B36="J"),"-","J")</f>
        <v>J</v>
      </c>
      <c r="M30" s="4" t="str">
        <f>IF($L30="-","",IF($O33="SP2","LST",IF(AND($L31="-",$L36="-"),"SP2",IF(AND($L32="-",$M35="LOU"),"SP2",IF(AND($M36="CAI",$M35="LOU"),"SP2","SP2")))))</f>
        <v>SP2</v>
      </c>
      <c r="N30" s="3" t="str">
        <f>IF(OR($B29="M",$B30="M",$B31="M",$B32="M",$B33="M",$B34="M",$B35="M"),"-","M")</f>
        <v>M</v>
      </c>
      <c r="O30" s="21" t="str">
        <f>IF($N30="-","",IF(AND($M35="LOU",$M32=""),"SP2",IF(AND($M35="LOU",$M36="CAI",$M32="SP3"),"BUR",IF(AND($M35="LOU",$M36="CAI",$M32="SP1"),"SP2",IF(AND($L31="-",$L35="-"),"SP2","SP3")))))</f>
        <v>SP3</v>
      </c>
      <c r="P30" s="60"/>
      <c r="Q30" s="35"/>
      <c r="R30" s="26"/>
      <c r="S30" s="65" t="s">
        <v>82</v>
      </c>
      <c r="T30" s="100" t="s">
        <v>84</v>
      </c>
    </row>
    <row r="31" spans="1:20" s="5" customFormat="1" ht="14" customHeight="1" thickTop="1">
      <c r="A31" s="83"/>
      <c r="B31" s="6" t="s">
        <v>103</v>
      </c>
      <c r="C31" s="20"/>
      <c r="D31" s="7" t="str">
        <f>IF(OR($B30="W",$B31="W",$B32="W",$B33="W",$B34="W",$B35="W",$B36="W"),"-",IF(OR($B$6="W1/2",$B31="W1/2",$B32="W1/2",$B33="W1/2",$B34="W1/2",$B35="W1/2",$B36="W1/2"),"-","W"))</f>
        <v>W</v>
      </c>
      <c r="E31" s="45" t="str">
        <f>IF($D31="-","",IF($D30="-","PCig",IF($E30="PCig","Anx","LST")))</f>
        <v>Anx</v>
      </c>
      <c r="F31" s="60"/>
      <c r="G31" s="60"/>
      <c r="H31" s="20"/>
      <c r="I31" s="71" t="str">
        <f>IF(OR($B30="H",$B31="H",$B32="H",$B33="H",$B34="H",$B35="H",$B36="H"),"-",IF(OR($B30="H1/2",$B31="H1/2",$B32="H1/2",$B33="H1/2",$B34="H1/2",$B35="H1/2",$B36="H1/2"),"-","H"))</f>
        <v>H</v>
      </c>
      <c r="J31" s="73" t="str">
        <f>IF($I31="-","","CAI")</f>
        <v>CAI</v>
      </c>
      <c r="K31" s="60"/>
      <c r="L31" s="7" t="str">
        <f>IF(OR($B30="W",$B31="W",$B32="W",$B33="W",$B34="W",$B35="W",$B36="W"),"-","W")</f>
        <v>W</v>
      </c>
      <c r="M31" s="8" t="str">
        <f>IF($L31="-","","SP1")</f>
        <v>SP1</v>
      </c>
      <c r="N31" s="71" t="str">
        <f>IF(OR($B30="H",$B31="H",$B32="H",$B33="H",$B34="H",$B35="H",$B36="H"),"-","H")</f>
        <v>H</v>
      </c>
      <c r="O31" s="72" t="str">
        <f>IF($N31="-","","CAI")</f>
        <v>CAI</v>
      </c>
      <c r="P31" s="60"/>
      <c r="Q31" s="54"/>
      <c r="R31" s="57" t="s">
        <v>81</v>
      </c>
      <c r="S31" s="98" t="str">
        <f>IF(AND($A36="*",$J31="CAI"),"H",IF(AND($A36="*",$J32="CAI"),"V",IF(AND($A36="*",$E36="CAI"),"AL","-")))</f>
        <v>-</v>
      </c>
      <c r="T31" s="101" t="s">
        <v>6</v>
      </c>
    </row>
    <row r="32" spans="1:20" s="5" customFormat="1" ht="14" customHeight="1" thickBot="1">
      <c r="A32" s="85" t="s">
        <v>35</v>
      </c>
      <c r="B32" s="6" t="s">
        <v>104</v>
      </c>
      <c r="C32" s="20"/>
      <c r="D32" s="7" t="str">
        <f>IF(OR($B30="T",$B31="T",$B32="T",$B33="T",$B34="T",$B35="T",$B36="T"),"-",IF(OR($B30="T1/2",$B31="T1/2",$B32="T1/2",$B33="T1/2",$B34="T1/2",$B35="T1/2",$B36="T1/2"),"-","T"))</f>
        <v>-</v>
      </c>
      <c r="E32" s="45" t="str">
        <f>IF($D32="-","",IF(AND($E35="LOU",$D31="-",$J30=""),"Anx",IF(AND($D31="-",$J30=""),"Anx","LST")))</f>
        <v/>
      </c>
      <c r="F32" s="60"/>
      <c r="G32" s="60"/>
      <c r="H32" s="20"/>
      <c r="I32" s="7" t="str">
        <f>IF(OR($B30="V",$B31="V",$B32="V",$B33="V",$B34="V",$B35="V",$B36="V"),"-",IF(OR($B30="V1/2",$B31="V1/2",$B32="V1/2",$B33="V1/2",$B34="V1/2",$B35="V1/2",$B36="V1/2"),"-","V"))</f>
        <v>V</v>
      </c>
      <c r="J32" s="8" t="str">
        <f>IF($I32="-","",IF(AND($I31="-",$D36="-"),"CAI","BAR"))</f>
        <v>BAR</v>
      </c>
      <c r="K32" s="60"/>
      <c r="L32" s="7" t="str">
        <f>IF(OR($B30="T",$B31="T",$B32="T",$B33="T",$B34="T",$B35="T",$B36="T"),"-","T")</f>
        <v>-</v>
      </c>
      <c r="M32" s="8" t="str">
        <f>IF($L32="-","",IF($L31="-","SP1",IF(AND($M35="LOU",$N30="-",$M30="SP2"),"LST",IF(AND($M35="LOU",$N30="-",$L30="-"),"SP2",IF($L30="-","LST","LST")))))</f>
        <v/>
      </c>
      <c r="N32" s="7" t="str">
        <f>IF(OR($B30="V",$B31="V",$B32="V",$B33="V",$B34="V",$B35="V",$B36="V"),"-","V")</f>
        <v>V</v>
      </c>
      <c r="O32" s="22" t="str">
        <f>IF($N32="-","",IF(AND($N31="-",$N36="-"),"CAI","BAR"))</f>
        <v>BAR</v>
      </c>
      <c r="P32" s="60"/>
      <c r="Q32" s="53"/>
      <c r="R32" s="58" t="s">
        <v>86</v>
      </c>
      <c r="S32" s="99" t="s">
        <v>5</v>
      </c>
      <c r="T32" s="102" t="s">
        <v>5</v>
      </c>
    </row>
    <row r="33" spans="1:20" s="5" customFormat="1" ht="14" customHeight="1" thickTop="1" thickBot="1">
      <c r="A33" s="85"/>
      <c r="B33" s="6"/>
      <c r="C33" s="20"/>
      <c r="D33" s="7" t="str">
        <f>IF(OR($B30="F",$B31="F",$B32="F",$B33="F",$B34="F",$B35="F",$B36="F"),"-",IF(OR($B30="F1/2",$B31="F1/2",$B32="F1/2",$B33="F1/2",$B34="F1/2",$B35="F1/2",$B36="F1/2"),"-","F"))</f>
        <v>F</v>
      </c>
      <c r="E33" s="45" t="str">
        <f>IF($D33="-","","ENT")</f>
        <v>ENT</v>
      </c>
      <c r="F33" s="60"/>
      <c r="G33" s="60"/>
      <c r="H33" s="20"/>
      <c r="I33" s="7" t="str">
        <f>IF(OR($B30="C",$B31="C",$B32="C",$B33="C",$B34="C",$B35="C",$B36="C"),"-",IF(OR($B30="C1/2",$B31="C1/2",$B32="C1/2",$B33="C1/2",$B34="C1/2",$B35="C1/2",$B36="C1/2"),"-","C"))</f>
        <v>-</v>
      </c>
      <c r="J33" s="8" t="str">
        <f>IF($I33="-","",IF($I32="-","BAR",IF(AND($I31="-",$D36="-"),"CAI",IF($J32="CAI","BAR","BUR"))))</f>
        <v/>
      </c>
      <c r="K33" s="60"/>
      <c r="L33" s="7" t="str">
        <f>IF(OR($B31="F",$B32="F",$B33="F",$B34="F",$B35="F",$B36="F",$B37="F"),"-","F")</f>
        <v>F</v>
      </c>
      <c r="M33" s="8" t="str">
        <f>IF($L33="-","","ENT")</f>
        <v>ENT</v>
      </c>
      <c r="N33" s="7" t="str">
        <f>IF(OR($B30="C",$B31="C",$B32="C",$B33="C",$B34="C",$B35="C",$B36="C"),"-","C")</f>
        <v>-</v>
      </c>
      <c r="O33" s="8" t="str">
        <f>IF($I33="-","",IF($I32="-","BAR",IF(AND($I31="-",$D36="-"),"CAI",IF($O32="CAI","BAR",IF($O32="BAR","BUR","BUR")))))</f>
        <v/>
      </c>
      <c r="P33" s="60"/>
      <c r="Q33" s="53"/>
      <c r="R33" s="106" t="s">
        <v>4</v>
      </c>
      <c r="S33" s="77" t="s">
        <v>8</v>
      </c>
      <c r="T33" s="105" t="s">
        <v>3</v>
      </c>
    </row>
    <row r="34" spans="1:20" s="5" customFormat="1" ht="14" customHeight="1" thickTop="1" thickBot="1">
      <c r="A34" s="85"/>
      <c r="B34" s="6"/>
      <c r="C34" s="13"/>
      <c r="D34" s="9" t="str">
        <f>IF(OR($B30="FL",$B31="FL",$B32="FL",$B33="FL",$B34="FL",$B35="FL",$B36="FL"),"-",IF(OR($B30="FL1/2",$B31="FL1/2",$B32="FL1/2",$B33="FL1/2",$B34="FL1/2",$B35="FL1/2",$B36="FL1/2"),"-","FL"))</f>
        <v>-</v>
      </c>
      <c r="E34" s="45" t="str">
        <f>IF($D34="-","","ENT")</f>
        <v/>
      </c>
      <c r="F34" s="60"/>
      <c r="G34" s="60"/>
      <c r="H34" s="20"/>
      <c r="I34" s="41" t="str">
        <f>IF(OR($B30="St3",$B31="St3",$B32="St3",$B33="St3",$B34="St3",$B35="St3",$B36="St3"),"-",IF(OR($B30="St31/2",$B31="St31/2",$B32="St31/2",$B33="St31/2",$B34="St31/2",$B35="St31/2",$B36="St31/2"),"-","St3"))</f>
        <v>St3</v>
      </c>
      <c r="J34" s="38" t="str">
        <f>IF($I34="-","",IF($I34="Stagiaire3","LOU",""))</f>
        <v/>
      </c>
      <c r="K34" s="60"/>
      <c r="L34" s="7" t="str">
        <f>IF(OR($B32="FL",$B33="FL",$B34="FL",$B35="FL",$B36="FL",$B37="FL",$B38="FL"),"-","FL")</f>
        <v>-</v>
      </c>
      <c r="M34" s="8" t="str">
        <f>IF($L34="-","","ENT")</f>
        <v/>
      </c>
      <c r="N34" s="41" t="str">
        <f>IF(OR($B31="St3",$B32="St3",$B33="St3",$B34="St3",$B35="St3",$B36="St3",$B37="St3"),"-",IF(OR($B31="St31/2",$B32="St31/2",$B33="St31/2",$B34="St31/2",$B35="St31/2",$B36="St31/2",$B37="St31/2"),"-","St3"))</f>
        <v>St3</v>
      </c>
      <c r="O34" s="38" t="str">
        <f>IF($I34="-","",IF($I34="Stagiaire3","LOU",""))</f>
        <v/>
      </c>
      <c r="P34" s="60"/>
      <c r="Q34" s="96"/>
      <c r="R34" s="95" t="s">
        <v>0</v>
      </c>
      <c r="S34" s="103" t="s">
        <v>7</v>
      </c>
      <c r="T34" s="104" t="s">
        <v>7</v>
      </c>
    </row>
    <row r="35" spans="1:20" s="5" customFormat="1" ht="14" customHeight="1" thickTop="1">
      <c r="A35" s="85"/>
      <c r="B35" s="47"/>
      <c r="C35" s="13"/>
      <c r="D35" s="7" t="str">
        <f>IF(OR($B30="A",$B31="A",$B32="A",$B33="A",$B34="A",$B35="A",$B36="A"),"-",IF(OR($B30="A1/2",$B31="A1/2",$B32="A1/2",$B33="A1/2",$B34="A1/2",$B35="A1/2",$B36="A1/2"),"-","A"))</f>
        <v>-</v>
      </c>
      <c r="E35" s="45" t="str">
        <f>IF($D35="-","",IF(AND($D36="-",$J36=""),"LOU",IF(AND($D36="-",$J36="LOU"),"LST",IF(AND($E36="CAI",$J36="LOU"),"LST",IF(AND($E31="Bassin",$E30=""),"PCig",IF(AND($J36="",$E31="PCig",$J30=""),"Anx","LST"))))))</f>
        <v/>
      </c>
      <c r="F35" s="60"/>
      <c r="G35" s="60"/>
      <c r="H35" s="20"/>
      <c r="I35" s="41" t="str">
        <f>IF(OR($B31="St2",$B32="St2",$B33="St2",$B34="St2",$B35="St2",$B36="St2",$B37="St2"),"-",IF(OR($B31="St21/2",$B32="St21/2",$B33="St21/2",$B34="St21/2",$B35="St21/2",$B36="St21/2",$B37="St21/2"),"-","St2"))</f>
        <v>St2</v>
      </c>
      <c r="J35" s="38" t="str">
        <f>IF($I35="-","",IF($I35="Stagiaire2","LOU",""))</f>
        <v/>
      </c>
      <c r="K35" s="60"/>
      <c r="L35" s="7" t="str">
        <f>IF(OR($B30="A",$B31="A",$B32="A",$B33="A",$B34="A",$B35="A",$B36="A"),"-","A")</f>
        <v>-</v>
      </c>
      <c r="M35" s="8" t="str">
        <f>IF($L35="-","",IF(AND($L36="-",$O36=""),"LOU",IF(AND($M36="CAI",$O36=""),,IF(AND($M36="-",$O36="LOU"),"LST",IF(AND($O36="LOU",$M36="CAI"),"LST",IF(AND($O36="LOU",$M36=""),"LST",IF(AND($L30="-",$L31="-"),"SP2",IF(AND($L30="-",$L32="-"),"SP2","LST"))))))))</f>
        <v/>
      </c>
      <c r="N35" s="41" t="str">
        <f>IF(OR($B32="St2",$B33="St2",$B34="St2",$B35="St2",$B36="St2",$B37="St2",$B38="St2"),"-",IF(OR($B32="St21/2",$B33="St21/2",$B34="St21/2",$B35="St21/2",$B36="St21/2",$B37="St21/2",$B38="St21/2"),"-","St2"))</f>
        <v>St2</v>
      </c>
      <c r="O35" s="38" t="str">
        <f>IF($I35="-","",IF($I35="Stagiaire2","LOU",""))</f>
        <v/>
      </c>
      <c r="P35" s="60"/>
      <c r="Q35" s="63"/>
      <c r="R35" s="64" t="s">
        <v>89</v>
      </c>
      <c r="S35" s="66" t="s">
        <v>84</v>
      </c>
      <c r="T35" s="67" t="s">
        <v>88</v>
      </c>
    </row>
    <row r="36" spans="1:20" s="5" customFormat="1" ht="14" customHeight="1">
      <c r="A36" s="74"/>
      <c r="B36" s="48" t="s">
        <v>22</v>
      </c>
      <c r="C36" s="13"/>
      <c r="D36" s="10" t="str">
        <f>IF(OR($B30="AL",$B31="AL",$B32="AL",$B33="AL",$B34="AL",$B35="AL",$B36="AL"),"-",IF(OR($B30="AL1/2",$B31="AL1/2",$B32="AL1/2",$B33="AL1/2",$B34="AL1/2",$B35="AL1/2",$B36="AL1/2"),"-","AL"))</f>
        <v>AL</v>
      </c>
      <c r="E36" s="46" t="str">
        <f>IF($D36="-","",IF(AND($I31="-",$I32="-",$J36="LOU"),"CAI",IF(AND($J32="CAI",$J36="LOU"),"LST",IF($J36="","LOU",IF(AND($I31="-",$I32="-"),"CAI","LST")))))</f>
        <v>LOU</v>
      </c>
      <c r="F36" s="37"/>
      <c r="G36" s="37"/>
      <c r="H36" s="51"/>
      <c r="I36" s="42" t="str">
        <f>IF(OR($B32="St1",$B33="St1",$B34="St1",$B35="St1",$B36="St1",$B37="St1",$B38="St1"),"-",IF(OR($B32="St11/2",$B33="St11/2",$B34="St11/2",$B35="St11/2",$B36="St11/2",$B37="St11/2",$B38="St11/2"),"-","St1"))</f>
        <v>St1</v>
      </c>
      <c r="J36" s="39" t="str">
        <f>IF($I36="-","",IF($I36="St1","",""))</f>
        <v/>
      </c>
      <c r="K36" s="60"/>
      <c r="L36" s="10" t="str">
        <f>IF(OR($B30="AL",$B31="AL",$B32="AL",$B33="AL",$B34="AL",$B35="AL",$B36="AL"),"-","AL")</f>
        <v>AL</v>
      </c>
      <c r="M36" s="11" t="str">
        <f>IF($L36="-","",IF(AND($N31="-",$N36="-"),"LOU",IF(AND($N31="-",$N36="St1"),"CAI",IF($O36="LOU","BUR","LOU"))))</f>
        <v>LOU</v>
      </c>
      <c r="N36" s="42" t="str">
        <f>IF(OR($B33="St1",$B34="St1",$B35="St1",$B36="St1",$B37="St1",$B38="St1",$B39="St1"),"-",IF(OR($B33="St11/2",$B34="St11/2",$B35="St11/2",$B36="St11/2",$B37="St11/2",$B38="St11/2",$B39="St11/2"),"-","St1"))</f>
        <v>St1</v>
      </c>
      <c r="O36" s="39" t="str">
        <f>IF($I36="-","",IF($I36="St1","",""))</f>
        <v/>
      </c>
      <c r="P36" s="60"/>
      <c r="Q36" s="62"/>
      <c r="R36" s="59" t="s">
        <v>87</v>
      </c>
      <c r="S36" s="77" t="str">
        <f>IF($E35="LOU","A",IF($E36="LOU","AL",IF($J36="LOU","ST","QUI")))</f>
        <v>AL</v>
      </c>
      <c r="T36" s="77" t="str">
        <f>IF(AND($A36="*",$M35="LOU"),"A",IF(AND($A36="*",$M36="LOU"),"AL",IF(AND($A36="*",$O36="LOU"),"ST",IF(AND($A36="",$E35="LOU"),"-",IF(AND($A36="",$E36="LOU"),"-",IF(AND($A36="",$J36="LOU"),"-","QUI"))))))</f>
        <v>-</v>
      </c>
    </row>
    <row r="37" spans="1:20" s="18" customFormat="1" ht="4" customHeight="1">
      <c r="A37" s="14"/>
      <c r="B37" s="15"/>
      <c r="C37" s="13"/>
      <c r="D37" s="16"/>
      <c r="E37" s="60"/>
      <c r="F37" s="60"/>
      <c r="G37" s="60"/>
      <c r="H37" s="60"/>
      <c r="I37" s="60"/>
      <c r="J37" s="60"/>
      <c r="K37" s="60"/>
      <c r="L37" s="16"/>
      <c r="M37" s="60"/>
      <c r="N37" s="60"/>
      <c r="O37" s="60"/>
      <c r="P37" s="60"/>
    </row>
    <row r="38" spans="1:20" s="5" customFormat="1" ht="14" customHeight="1" thickBot="1">
      <c r="A38" s="82">
        <f>G2+4</f>
        <v>41418</v>
      </c>
      <c r="B38" s="2" t="s">
        <v>19</v>
      </c>
      <c r="C38" s="20"/>
      <c r="D38" s="3" t="str">
        <f>IF(OR($B38="J",$B39="J",$B40="J",$B41="J",$B42="J",$B43="J",$B44="J"),"-",IF(OR($B38="J1/2",$B39="J1/2",$B40="J1/2",$B41="J1/2",$B42="J1/2",$B43="J1/2",$B44="J1/2"),"-","J"))</f>
        <v>-</v>
      </c>
      <c r="E38" s="44" t="str">
        <f>IF($D38="-","","PCig")</f>
        <v/>
      </c>
      <c r="F38" s="36"/>
      <c r="G38" s="36"/>
      <c r="H38" s="50"/>
      <c r="I38" s="3" t="str">
        <f>IF(OR($B38="M",$B39="M",$B40="M",$B41="M",$B42="M",$B43="M",$B44="M"),"-",IF(OR($B38="M1/2",$B39="M1/2",$B40="M1/2",$B41="M1/2",$B42="M1/2",$B43="M1/2",$B44="M1/2"),"-","M"))</f>
        <v>M</v>
      </c>
      <c r="J38" s="4" t="str">
        <f>IF($I38="-","",IF($D39="-","Anx",IF($E39="Pcig","Anx","BUR")))</f>
        <v>Anx</v>
      </c>
      <c r="K38" s="60"/>
      <c r="L38" s="3" t="str">
        <f>IF(OR($B38="J",$B39="J",$B40="J",$B41="J",$B42="J",$B43="J",$B44="J"),"-","J")</f>
        <v>-</v>
      </c>
      <c r="M38" s="4" t="str">
        <f>IF($L38="-","",IF($O41="SP2","LST",IF(AND($L39="-",$L44="-"),"SP2",IF(AND($L40="-",$M43="LOU"),"SP2",IF(AND($M44="CAI",$M43="LOU"),"SP2","SP2")))))</f>
        <v/>
      </c>
      <c r="N38" s="3" t="str">
        <f>IF(OR($B37="M",$B38="M",$B39="M",$B40="M",$B41="M",$B42="M",$B43="M"),"-","M")</f>
        <v>M</v>
      </c>
      <c r="O38" s="21" t="str">
        <f>IF($N38="-","",IF(AND($M43="LOU",$M40=""),"SP2",IF(AND($M43="LOU",$M44="CAI",$M40="SP3"),"BUR",IF(AND($M43="LOU",$M44="CAI",$M40="SP1"),"SP2",IF(AND($L39="-",$L43="-"),"SP2","SP3")))))</f>
        <v>SP3</v>
      </c>
      <c r="P38" s="60"/>
      <c r="Q38" s="35"/>
      <c r="R38" s="26"/>
      <c r="S38" s="65" t="s">
        <v>82</v>
      </c>
      <c r="T38" s="100" t="s">
        <v>84</v>
      </c>
    </row>
    <row r="39" spans="1:20" s="5" customFormat="1" ht="14" customHeight="1" thickTop="1">
      <c r="A39" s="83"/>
      <c r="B39" s="6" t="s">
        <v>20</v>
      </c>
      <c r="C39" s="20"/>
      <c r="D39" s="7" t="str">
        <f>IF(OR($B38="W",$B39="W",$B40="W",$B41="W",$B42="W",$B43="W",$B44="W"),"-",IF(OR($B$6="W1/2",$B39="W1/2",$B40="W1/2",$B41="W1/2",$B42="W1/2",$B43="W1/2",$B44="W1/2"),"-","W"))</f>
        <v>W</v>
      </c>
      <c r="E39" s="45" t="str">
        <f>IF($D39="-","",IF($D38="-","PCig",IF($E38="PCig","Anx","LST")))</f>
        <v>PCig</v>
      </c>
      <c r="F39" s="60"/>
      <c r="G39" s="60"/>
      <c r="H39" s="20"/>
      <c r="I39" s="71" t="str">
        <f>IF(OR($B38="H",$B39="H",$B40="H",$B41="H",$B42="H",$B43="H",$B44="H"),"-",IF(OR($B38="H1/2",$B39="H1/2",$B40="H1/2",$B41="H1/2",$B42="H1/2",$B43="H1/2",$B44="H1/2"),"-","H"))</f>
        <v>H</v>
      </c>
      <c r="J39" s="73" t="str">
        <f>IF($I39="-","","CAI")</f>
        <v>CAI</v>
      </c>
      <c r="K39" s="60"/>
      <c r="L39" s="7" t="str">
        <f>IF(OR($B38="W",$B39="W",$B40="W",$B41="W",$B42="W",$B43="W",$B44="W"),"-","W")</f>
        <v>W</v>
      </c>
      <c r="M39" s="8" t="str">
        <f>IF($L39="-","","SP1")</f>
        <v>SP1</v>
      </c>
      <c r="N39" s="71" t="str">
        <f>IF(OR($B38="H",$B39="H",$B40="H",$B41="H",$B42="H",$B43="H",$B44="H"),"-","H")</f>
        <v>H</v>
      </c>
      <c r="O39" s="72" t="str">
        <f>IF($N39="-","","CAI")</f>
        <v>CAI</v>
      </c>
      <c r="P39" s="60"/>
      <c r="Q39" s="54"/>
      <c r="R39" s="57" t="s">
        <v>81</v>
      </c>
      <c r="S39" s="98" t="str">
        <f>IF(AND($A44="*",$J39="CAI"),"H",IF(AND($A44="*",$J40="CAI"),"V",IF(AND($A44="*",$E44="CAI"),"AL","-")))</f>
        <v>-</v>
      </c>
      <c r="T39" s="101" t="s">
        <v>6</v>
      </c>
    </row>
    <row r="40" spans="1:20" s="5" customFormat="1" ht="14" customHeight="1" thickBot="1">
      <c r="A40" s="85" t="s">
        <v>36</v>
      </c>
      <c r="B40" s="6" t="s">
        <v>106</v>
      </c>
      <c r="C40" s="20"/>
      <c r="D40" s="7" t="str">
        <f>IF(OR($B38="T",$B39="T",$B40="T",$B41="T",$B42="T",$B43="T",$B44="T"),"-",IF(OR($B38="T1/2",$B39="T1/2",$B40="T1/2",$B41="T1/2",$B42="T1/2",$B43="T1/2",$B44="T1/2"),"-","T"))</f>
        <v>T</v>
      </c>
      <c r="E40" s="45" t="str">
        <f>IF($D40="-","",IF(AND($E43="LOU",$D39="-",$J38=""),"Anx",IF(AND($D39="-",$J38=""),"Anx","LST")))</f>
        <v>LST</v>
      </c>
      <c r="F40" s="60"/>
      <c r="G40" s="60"/>
      <c r="H40" s="20"/>
      <c r="I40" s="7" t="str">
        <f>IF(OR($B38="V",$B39="V",$B40="V",$B41="V",$B42="V",$B43="V",$B44="V"),"-",IF(OR($B38="V1/2",$B39="V1/2",$B40="V1/2",$B41="V1/2",$B42="V1/2",$B43="V1/2",$B44="V1/2"),"-","V"))</f>
        <v>V</v>
      </c>
      <c r="J40" s="8" t="str">
        <f>IF($I40="-","",IF(AND($I39="-",$D44="-"),"CAI","BAR"))</f>
        <v>BAR</v>
      </c>
      <c r="K40" s="60"/>
      <c r="L40" s="7" t="str">
        <f>IF(OR($B38="T",$B39="T",$B40="T",$B41="T",$B42="T",$B43="T",$B44="T"),"-","T")</f>
        <v>T</v>
      </c>
      <c r="M40" s="8" t="s">
        <v>111</v>
      </c>
      <c r="N40" s="7" t="str">
        <f>IF(OR($B38="V",$B39="V",$B40="V",$B41="V",$B42="V",$B43="V",$B44="V"),"-","V")</f>
        <v>V</v>
      </c>
      <c r="O40" s="22" t="str">
        <f>IF($N40="-","",IF(AND($N39="-",$N44="-"),"CAI","BAR"))</f>
        <v>BAR</v>
      </c>
      <c r="P40" s="60"/>
      <c r="Q40" s="53"/>
      <c r="R40" s="58" t="s">
        <v>86</v>
      </c>
      <c r="S40" s="99" t="s">
        <v>5</v>
      </c>
      <c r="T40" s="102" t="s">
        <v>5</v>
      </c>
    </row>
    <row r="41" spans="1:20" s="5" customFormat="1" ht="14" customHeight="1" thickTop="1" thickBot="1">
      <c r="A41" s="85"/>
      <c r="B41" s="6" t="s">
        <v>108</v>
      </c>
      <c r="C41" s="20"/>
      <c r="D41" s="7" t="str">
        <f>IF(OR($B38="F",$B39="F",$B40="F",$B41="F",$B42="F",$B43="F",$B44="F"),"-",IF(OR($B38="F1/2",$B39="F1/2",$B40="F1/2",$B41="F1/2",$B42="F1/2",$B43="F1/2",$B44="F1/2"),"-","F"))</f>
        <v>-</v>
      </c>
      <c r="E41" s="45" t="str">
        <f>IF($D41="-","","ENT")</f>
        <v/>
      </c>
      <c r="F41" s="60"/>
      <c r="G41" s="60"/>
      <c r="H41" s="20"/>
      <c r="I41" s="7" t="str">
        <f>IF(OR($B38="C",$B39="C",$B40="C",$B41="C",$B42="C",$B43="C",$B44="C"),"-",IF(OR($B38="C1/2",$B39="C1/2",$B40="C1/2",$B41="C1/2",$B42="C1/2",$B43="C1/2",$B44="C1/2"),"-","C"))</f>
        <v>-</v>
      </c>
      <c r="J41" s="8" t="str">
        <f>IF($I41="-","",IF($I40="-","BAR",IF(AND($I39="-",$D44="-"),"CAI",IF($J40="CAI","BAR","BUR"))))</f>
        <v/>
      </c>
      <c r="K41" s="60"/>
      <c r="L41" s="7" t="str">
        <f>IF(OR($B39="F",$B40="F",$B41="F",$B42="F",$B43="F",$B44="F",$B45="F"),"-","F")</f>
        <v>-</v>
      </c>
      <c r="M41" s="8" t="str">
        <f>IF($L41="-","","ENT")</f>
        <v/>
      </c>
      <c r="N41" s="7" t="str">
        <f>IF(OR($B38="C",$B39="C",$B40="C",$B41="C",$B42="C",$B43="C",$B44="C"),"-","C")</f>
        <v>-</v>
      </c>
      <c r="O41" s="8" t="str">
        <f>IF($I41="-","",IF($I40="-","BAR",IF(AND($I39="-",$D44="-"),"CAI",IF($O40="CAI","BAR",IF($O40="BAR","BUR","BUR")))))</f>
        <v/>
      </c>
      <c r="P41" s="60"/>
      <c r="Q41" s="53"/>
      <c r="R41" s="106" t="s">
        <v>4</v>
      </c>
      <c r="S41" s="77" t="s">
        <v>8</v>
      </c>
      <c r="T41" s="105" t="s">
        <v>3</v>
      </c>
    </row>
    <row r="42" spans="1:20" s="5" customFormat="1" ht="14" customHeight="1" thickTop="1" thickBot="1">
      <c r="A42" s="85"/>
      <c r="B42" s="6"/>
      <c r="C42" s="13"/>
      <c r="D42" s="9" t="str">
        <f>IF(OR($B38="FL",$B39="FL",$B40="FL",$B41="FL",$B42="FL",$B43="FL",$B44="FL"),"-",IF(OR($B38="FL1/2",$B39="FL1/2",$B40="FL1/2",$B41="FL1/2",$B42="FL1/2",$B43="FL1/2",$B44="FL1/2"),"-","FL"))</f>
        <v>-</v>
      </c>
      <c r="E42" s="45" t="str">
        <f>IF($D42="-","","ENT")</f>
        <v/>
      </c>
      <c r="F42" s="60"/>
      <c r="G42" s="60"/>
      <c r="H42" s="20"/>
      <c r="I42" s="41" t="str">
        <f>IF(OR($B38="St3",$B39="St3",$B40="St3",$B41="St3",$B42="St3",$B43="St3",$B44="St3"),"-",IF(OR($B38="St31/2",$B39="St31/2",$B40="St31/2",$B41="St31/2",$B42="St31/2",$B43="St31/2",$B44="St31/2"),"-","St3"))</f>
        <v>St3</v>
      </c>
      <c r="J42" s="38" t="str">
        <f>IF($I42="-","",IF($I42="Stagiaire3","LOU",""))</f>
        <v/>
      </c>
      <c r="K42" s="60"/>
      <c r="L42" s="7" t="str">
        <f>IF(OR($B40="FL",$B41="FL",$B42="FL",$B43="FL",$B44="FL",$B45="FL",$B46="FL"),"-","FL")</f>
        <v>-</v>
      </c>
      <c r="M42" s="8" t="str">
        <f>IF($L42="-","","ENT")</f>
        <v/>
      </c>
      <c r="N42" s="41" t="str">
        <f>IF(OR($B39="St3",$B40="St3",$B41="St3",$B42="St3",$B43="St3",$B44="St3",$B45="St3"),"-",IF(OR($B39="St31/2",$B40="St31/2",$B41="St31/2",$B42="St31/2",$B43="St31/2",$B44="St31/2",$B45="St31/2"),"-","St3"))</f>
        <v>St3</v>
      </c>
      <c r="O42" s="38" t="str">
        <f>IF($I42="-","",IF($I42="Stagiaire3","LOU",""))</f>
        <v/>
      </c>
      <c r="P42" s="60"/>
      <c r="Q42" s="96"/>
      <c r="R42" s="95" t="s">
        <v>0</v>
      </c>
      <c r="S42" s="103" t="s">
        <v>7</v>
      </c>
      <c r="T42" s="104" t="s">
        <v>7</v>
      </c>
    </row>
    <row r="43" spans="1:20" s="5" customFormat="1" ht="14" customHeight="1" thickTop="1">
      <c r="A43" s="85"/>
      <c r="B43" s="47"/>
      <c r="C43" s="13"/>
      <c r="D43" s="7" t="str">
        <f>IF(OR($B38="A",$B39="A",$B40="A",$B41="A",$B42="A",$B43="A",$B44="A"),"-",IF(OR($B38="A1/2",$B39="A1/2",$B40="A1/2",$B41="A1/2",$B42="A1/2",$B43="A1/2",$B44="A1/2"),"-","A"))</f>
        <v>-</v>
      </c>
      <c r="E43" s="45" t="str">
        <f>IF($D43="-","",IF(AND($D44="-",$J44=""),"LOU",IF(AND($D44="-",$J44="LOU"),"LST",IF(AND($E44="CAI",$J44="LOU"),"LST",IF(AND($E39="Bassin",$E38=""),"PCig",IF(AND($J44="",$E39="PCig",$J38=""),"Anx","LST"))))))</f>
        <v/>
      </c>
      <c r="F43" s="60"/>
      <c r="G43" s="60"/>
      <c r="H43" s="20"/>
      <c r="I43" s="41" t="str">
        <f>IF(OR($B39="St2",$B40="St2",$B41="St2",$B42="St2",$B43="St2",$B44="St2",$B45="St2"),"-",IF(OR($B39="St21/2",$B40="St21/2",$B41="St21/2",$B42="St21/2",$B43="St21/2",$B44="St21/2",$B45="St21/2"),"-","St2"))</f>
        <v>St2</v>
      </c>
      <c r="J43" s="38" t="str">
        <f>IF($I43="-","",IF($I43="Stagiaire2","LOU",""))</f>
        <v/>
      </c>
      <c r="K43" s="60"/>
      <c r="L43" s="7" t="str">
        <f>IF(OR($B38="A",$B39="A",$B40="A",$B41="A",$B42="A",$B43="A",$B44="A"),"-","A")</f>
        <v>-</v>
      </c>
      <c r="M43" s="8" t="str">
        <f>IF($L43="-","",IF(AND($L44="-",$O44=""),"LOU",IF(AND($M44="CAI",$O44=""),,IF(AND($M44="-",$O44="LOU"),"LST",IF(AND($O44="LOU",$M44="CAI"),"LST",IF(AND($O44="LOU",$M44=""),"LST","LST"))))))</f>
        <v/>
      </c>
      <c r="N43" s="41" t="str">
        <f>IF(OR($B40="St2",$B41="St2",$B42="St2",$B43="St2",$B44="St2",$B45="St2",$B46="St2"),"-",IF(OR($B40="St21/2",$B41="St21/2",$B42="St21/2",$B43="St21/2",$B44="St21/2",$B45="St21/2",$B46="St21/2"),"-","St2"))</f>
        <v>St2</v>
      </c>
      <c r="O43" s="38" t="str">
        <f>IF($I43="-","",IF($I43="Stagiaire2","LOU",""))</f>
        <v/>
      </c>
      <c r="P43" s="60"/>
      <c r="Q43" s="63"/>
      <c r="R43" s="64" t="s">
        <v>89</v>
      </c>
      <c r="S43" s="66" t="s">
        <v>84</v>
      </c>
      <c r="T43" s="67" t="s">
        <v>88</v>
      </c>
    </row>
    <row r="44" spans="1:20" s="5" customFormat="1" ht="14" customHeight="1">
      <c r="A44" s="74"/>
      <c r="B44" s="48" t="s">
        <v>23</v>
      </c>
      <c r="C44" s="13"/>
      <c r="D44" s="10" t="str">
        <f>IF(OR($B38="AL",$B39="AL",$B40="AL",$B41="AL",$B42="AL",$B43="AL",$B44="AL"),"-",IF(OR($B38="AL1/2",$B39="AL1/2",$B40="AL1/2",$B41="AL1/2",$B42="AL1/2",$B43="AL1/2",$B44="AL1/2"),"-","AL"))</f>
        <v>AL</v>
      </c>
      <c r="E44" s="46" t="str">
        <f>IF($D44="-","",IF(AND($I39="-",$I40="-",$J44="LOU"),"CAI",IF(AND($J40="CAI",$J44="LOU"),"LST",IF($J44="","LOU",IF(AND($I39="-",$I40="-"),"CAI","LST")))))</f>
        <v>LOU</v>
      </c>
      <c r="F44" s="37"/>
      <c r="G44" s="37"/>
      <c r="H44" s="51"/>
      <c r="I44" s="42" t="str">
        <f>IF(OR($B40="St1",$B41="St1",$B42="St1",$B43="St1",$B44="St1",$B45="St1",$B46="St1"),"-",IF(OR($B40="St11/2",$B41="St11/2",$B42="St11/2",$B43="St11/2",$B44="St11/2",$B45="St11/2",$B46="St11/2"),"-","St1"))</f>
        <v>St1</v>
      </c>
      <c r="J44" s="39" t="str">
        <f>IF($I44="-","",IF($I44="St1","",""))</f>
        <v/>
      </c>
      <c r="K44" s="60"/>
      <c r="L44" s="10" t="str">
        <f>IF(OR($B38="AL",$B39="AL",$B40="AL",$B41="AL",$B42="AL",$B43="AL",$B44="AL"),"-","AL")</f>
        <v>AL</v>
      </c>
      <c r="M44" s="11" t="str">
        <f>IF($L44="-","",IF(AND($N39="-",$N44="-"),"LOU",IF(AND($N39="-",$N44="St1"),"CAI",IF($O44="LOU","BUR","LOU"))))</f>
        <v>LOU</v>
      </c>
      <c r="N44" s="42" t="str">
        <f>IF(OR($B41="St1",$B42="St1",$B43="St1",$B44="St1",$B45="St1",$B46="St1",$B47="St1"),"-",IF(OR($B41="St11/2",$B42="St11/2",$B43="St11/2",$B44="St11/2",$B45="St11/2",$B46="St11/2",$B47="St11/2"),"-","St1"))</f>
        <v>St1</v>
      </c>
      <c r="O44" s="39" t="str">
        <f>IF($I44="-","",IF($I44="St1","",""))</f>
        <v/>
      </c>
      <c r="P44" s="60"/>
      <c r="Q44" s="62"/>
      <c r="R44" s="59" t="s">
        <v>87</v>
      </c>
      <c r="S44" s="77" t="str">
        <f>IF($E43="LOU","A",IF($E44="LOU","AL",IF($J44="LOU","ST","QUI")))</f>
        <v>AL</v>
      </c>
      <c r="T44" s="77" t="str">
        <f>IF(AND($A44="*",$M43="LOU"),"A",IF(AND($A44="*",$M44="LOU"),"AL",IF(AND($A44="*",$O44="LOU"),"ST",IF(AND($A44="",$E43="LOU"),"-",IF(AND($A44="",$E44="LOU"),"-",IF(AND($A44="",$J44="LOU"),"-","QUI"))))))</f>
        <v>-</v>
      </c>
    </row>
    <row r="45" spans="1:20" s="18" customFormat="1" ht="4" customHeight="1">
      <c r="A45" s="14"/>
      <c r="B45" s="15"/>
      <c r="C45" s="13"/>
      <c r="D45" s="16"/>
      <c r="E45" s="60"/>
      <c r="F45" s="60"/>
      <c r="G45" s="60"/>
      <c r="H45" s="60"/>
      <c r="I45" s="60"/>
      <c r="J45" s="60"/>
      <c r="K45" s="60"/>
      <c r="L45" s="16"/>
      <c r="M45" s="60"/>
      <c r="N45" s="60"/>
      <c r="O45" s="60"/>
      <c r="P45" s="60"/>
    </row>
    <row r="46" spans="1:20" s="5" customFormat="1" ht="14" customHeight="1" thickBot="1">
      <c r="A46" s="80">
        <f>G2+5</f>
        <v>41419</v>
      </c>
      <c r="B46" s="2" t="s">
        <v>95</v>
      </c>
      <c r="C46" s="20"/>
      <c r="D46" s="3" t="str">
        <f>IF(OR($B46="J",$B47="J",$B48="J",$B49="J",$B50="J",$B51="J",$B52="J"),"-",IF(OR($B46="J1/2",$B47="J1/2",$B48="J1/2",$B49="J1/2",$B50="J1/2",$B51="J1/2",$B52="J1/2"),"-","J"))</f>
        <v>J</v>
      </c>
      <c r="E46" s="44" t="str">
        <f>IF($D46="-","","PCig")</f>
        <v>PCig</v>
      </c>
      <c r="F46" s="36"/>
      <c r="G46" s="36"/>
      <c r="H46" s="50"/>
      <c r="I46" s="3" t="str">
        <f>IF(OR($B46="M",$B47="M",$B48="M",$B49="M",$B50="M",$B51="M",$B52="M"),"-",IF(OR($B46="M1/2",$B47="M1/2",$B48="M1/2",$B49="M1/2",$B50="M1/2",$B51="M1/2",$B52="M1/2"),"-","M"))</f>
        <v>-</v>
      </c>
      <c r="J46" s="4" t="str">
        <f>IF($I46="-","",IF($D47="-","Anx",IF($E47="Pcig","Anx","BUR")))</f>
        <v/>
      </c>
      <c r="K46" s="60"/>
      <c r="L46" s="3" t="str">
        <f>IF(OR($B46="J",$B47="J",$B48="J",$B49="J",$B50="J",$B51="J",$B52="J"),"-","J")</f>
        <v>J</v>
      </c>
      <c r="M46" s="4" t="str">
        <f>IF($L46="-","",IF($O49="SP2","LST",IF(AND($L47="-",$L52="-"),"SP2",IF(AND($L48="-",$M51="LOU"),"SP2",IF(AND($M52="CAI",$M51="LOU"),"SP2","SP2")))))</f>
        <v>SP2</v>
      </c>
      <c r="N46" s="3" t="str">
        <f>IF(OR($B45="M",$B46="M",$B47="M",$B48="M",$B49="M",$B50="M",$B51="M"),"-","M")</f>
        <v>-</v>
      </c>
      <c r="O46" s="21" t="str">
        <f>IF($N46="-","",IF(AND($M51="LOU",$M48=""),"SP2",IF(AND($M51="LOU",$M52="CAI",$M48="SP3"),"BUR",IF(AND($M51="LOU",$M52="CAI",$M48="SP1"),"SP2",IF(AND($L47="-",$L51="-"),"SP2","SP3")))))</f>
        <v/>
      </c>
      <c r="P46" s="60"/>
      <c r="Q46" s="35"/>
      <c r="R46" s="26"/>
      <c r="S46" s="65" t="s">
        <v>82</v>
      </c>
      <c r="T46" s="100" t="s">
        <v>84</v>
      </c>
    </row>
    <row r="47" spans="1:20" s="5" customFormat="1" ht="14" customHeight="1" thickTop="1">
      <c r="A47" s="81"/>
      <c r="B47" s="6" t="s">
        <v>101</v>
      </c>
      <c r="C47" s="20"/>
      <c r="D47" s="7" t="str">
        <f>IF(OR($B46="W",$B47="W",$B48="W",$B49="W",$B50="W",$B51="W",$B52="W"),"-",IF(OR($B$6="W1/2",$B47="W1/2",$B48="W1/2",$B49="W1/2",$B50="W1/2",$B51="W1/2",$B52="W1/2"),"-","W"))</f>
        <v>W</v>
      </c>
      <c r="E47" s="45" t="str">
        <f>IF($D47="-","",IF($D46="-","PCig",IF($E46="PCig","Anx","LST")))</f>
        <v>Anx</v>
      </c>
      <c r="F47" s="60"/>
      <c r="G47" s="60"/>
      <c r="H47" s="20"/>
      <c r="I47" s="71" t="str">
        <f>IF(OR($B46="H",$B47="H",$B48="H",$B49="H",$B50="H",$B51="H",$B52="H"),"-",IF(OR($B46="H1/2",$B47="H1/2",$B48="H1/2",$B49="H1/2",$B50="H1/2",$B51="H1/2",$B52="H1/2"),"-","H"))</f>
        <v>-</v>
      </c>
      <c r="J47" s="73" t="str">
        <f>IF($I47="-","","CAI")</f>
        <v/>
      </c>
      <c r="K47" s="60"/>
      <c r="L47" s="7" t="str">
        <f>IF(OR($B46="W",$B47="W",$B48="W",$B49="W",$B50="W",$B51="W",$B52="W"),"-","W")</f>
        <v>W</v>
      </c>
      <c r="M47" s="8" t="str">
        <f>IF($L47="-","","SP1")</f>
        <v>SP1</v>
      </c>
      <c r="N47" s="71" t="str">
        <f>IF(OR($B46="H",$B47="H",$B48="H",$B49="H",$B50="H",$B51="H",$B52="H"),"-","H")</f>
        <v>-</v>
      </c>
      <c r="O47" s="72" t="str">
        <f>IF($N47="-","","CAI")</f>
        <v/>
      </c>
      <c r="P47" s="60"/>
      <c r="Q47" s="54"/>
      <c r="R47" s="57" t="s">
        <v>81</v>
      </c>
      <c r="S47" s="98" t="str">
        <f>IF(AND($A52="*",$J47="CAI"),"H",IF(AND($A52="*",$J48="CAI"),"V",IF(AND($A52="*",$E52="CAI"),"AL","-")))</f>
        <v>AL</v>
      </c>
      <c r="T47" s="101" t="s">
        <v>16</v>
      </c>
    </row>
    <row r="48" spans="1:20" s="5" customFormat="1" ht="14" customHeight="1" thickBot="1">
      <c r="A48" s="84" t="s">
        <v>37</v>
      </c>
      <c r="B48" s="6" t="s">
        <v>105</v>
      </c>
      <c r="C48" s="20"/>
      <c r="D48" s="7" t="str">
        <f>IF(OR($B46="T",$B47="T",$B48="T",$B49="T",$B50="T",$B51="T",$B52="T"),"-",IF(OR($B46="T1/2",$B47="T1/2",$B48="T1/2",$B49="T1/2",$B50="T1/2",$B51="T1/2",$B52="T1/2"),"-","T"))</f>
        <v>T</v>
      </c>
      <c r="E48" s="45" t="str">
        <f>IF($D48="-","",IF(AND($E51="LOU",$D47="-",$J46=""),"Anx",IF(AND($D47="-",$J46=""),"Anx","LST")))</f>
        <v>LST</v>
      </c>
      <c r="F48" s="60"/>
      <c r="G48" s="60"/>
      <c r="H48" s="20"/>
      <c r="I48" s="7" t="str">
        <f>IF(OR($B46="V",$B47="V",$B48="V",$B49="V",$B50="V",$B51="V",$B52="V"),"-",IF(OR($B46="V1/2",$B47="V1/2",$B48="V1/2",$B49="V1/2",$B50="V1/2",$B51="V1/2",$B52="V1/2"),"-","V"))</f>
        <v>V</v>
      </c>
      <c r="J48" s="8" t="str">
        <f>IF($I48="-","",IF(AND($I47="-",$D52="-"),"CAI","BAR"))</f>
        <v>BAR</v>
      </c>
      <c r="K48" s="60"/>
      <c r="L48" s="7" t="str">
        <f>IF(OR($B46="T",$B47="T",$B48="T",$B49="T",$B50="T",$B51="T",$B52="T"),"-","T")</f>
        <v>T</v>
      </c>
      <c r="M48" s="8" t="str">
        <f>IF($L48="-","",IF($L47="-","SP1",IF(AND($M51="LOU",$N46="-",$M46="SP2"),"LST",IF(AND($M51="LOU",$N46="-",$L46="-"),"SP2",IF($L46="-","LST","LST")))))</f>
        <v>LST</v>
      </c>
      <c r="N48" s="7" t="str">
        <f>IF(OR($B46="V",$B47="V",$B48="V",$B49="V",$B50="V",$B51="V",$B52="V"),"-","V")</f>
        <v>V</v>
      </c>
      <c r="O48" s="22" t="str">
        <f>IF($N48="-","",IF(AND($N47="-",$N52="-"),"CAI","BAR"))</f>
        <v>BAR</v>
      </c>
      <c r="P48" s="60"/>
      <c r="Q48" s="53"/>
      <c r="R48" s="58" t="s">
        <v>86</v>
      </c>
      <c r="S48" s="99" t="s">
        <v>109</v>
      </c>
      <c r="T48" s="102" t="s">
        <v>97</v>
      </c>
    </row>
    <row r="49" spans="1:20" s="5" customFormat="1" ht="14" customHeight="1" thickTop="1" thickBot="1">
      <c r="A49" s="84"/>
      <c r="B49" s="6"/>
      <c r="C49" s="20"/>
      <c r="D49" s="7" t="str">
        <f>IF(OR($B46="F",$B47="F",$B48="F",$B49="F",$B50="F",$B51="F",$B52="F"),"-",IF(OR($B46="F1/2",$B47="F1/2",$B48="F1/2",$B49="F1/2",$B50="F1/2",$B51="F1/2",$B52="F1/2"),"-","F"))</f>
        <v>-</v>
      </c>
      <c r="E49" s="45" t="str">
        <f>IF($D49="-","","ENT")</f>
        <v/>
      </c>
      <c r="F49" s="60"/>
      <c r="G49" s="60"/>
      <c r="H49" s="20"/>
      <c r="I49" s="7" t="str">
        <f>IF(OR($B46="C",$B47="C",$B48="C",$B49="C",$B50="C",$B51="C",$B52="C"),"-",IF(OR($B46="C1/2",$B47="C1/2",$B48="C1/2",$B49="C1/2",$B50="C1/2",$B51="C1/2",$B52="C1/2"),"-","C"))</f>
        <v>C</v>
      </c>
      <c r="J49" s="8" t="str">
        <f>IF($I49="-","",IF($I48="-","BAR",IF(AND($I47="-",$D52="-"),"CAI",IF($J48="CAI","BAR","BUR"))))</f>
        <v>BUR</v>
      </c>
      <c r="K49" s="60"/>
      <c r="L49" s="7" t="str">
        <f>IF(OR($B47="F",$B48="F",$B49="F",$B50="F",$B51="F",$B52="F",$B53="F"),"-","F")</f>
        <v>-</v>
      </c>
      <c r="M49" s="8" t="str">
        <f>IF($L49="-","","ENT")</f>
        <v/>
      </c>
      <c r="N49" s="7" t="str">
        <f>IF(OR($B46="C",$B47="C",$B48="C",$B49="C",$B50="C",$B51="C",$B52="C"),"-","C")</f>
        <v>C</v>
      </c>
      <c r="O49" s="8" t="str">
        <f>IF($I49="-","",IF($I48="-","BAR",IF(AND($I47="-",$D52="-"),"CAI",IF($O48="CAI","BAR",IF($O48="BAR","BUR","BUR")))))</f>
        <v>BUR</v>
      </c>
      <c r="P49" s="60"/>
      <c r="Q49" s="53"/>
      <c r="R49" s="106" t="s">
        <v>4</v>
      </c>
      <c r="S49" s="77" t="s">
        <v>5</v>
      </c>
      <c r="T49" s="105" t="s">
        <v>3</v>
      </c>
    </row>
    <row r="50" spans="1:20" s="5" customFormat="1" ht="14" customHeight="1" thickTop="1" thickBot="1">
      <c r="A50" s="84"/>
      <c r="B50" s="6"/>
      <c r="C50" s="13"/>
      <c r="D50" s="9" t="str">
        <f>IF(OR($B46="FL",$B47="FL",$B48="FL",$B49="FL",$B50="FL",$B51="FL",$B52="FL"),"-",IF(OR($B46="FL1/2",$B47="FL1/2",$B48="FL1/2",$B49="FL1/2",$B50="FL1/2",$B51="FL1/2",$B52="FL1/2"),"-","FL"))</f>
        <v>-</v>
      </c>
      <c r="E50" s="45" t="str">
        <f>IF($D50="-","","ENT")</f>
        <v/>
      </c>
      <c r="F50" s="60"/>
      <c r="G50" s="60"/>
      <c r="H50" s="20"/>
      <c r="I50" s="41" t="str">
        <f>IF(OR($B46="St3",$B47="St3",$B48="St3",$B49="St3",$B50="St3",$B51="St3",$B52="St3"),"-",IF(OR($B46="St31/2",$B47="St31/2",$B48="St31/2",$B49="St31/2",$B50="St31/2",$B51="St31/2",$B52="St31/2"),"-","St3"))</f>
        <v>St3</v>
      </c>
      <c r="J50" s="38" t="str">
        <f>IF($I50="-","",IF($I50="Stagiaire3","LOU",""))</f>
        <v/>
      </c>
      <c r="K50" s="60"/>
      <c r="L50" s="7" t="str">
        <f>IF(OR($B48="FL",$B49="FL",$B50="FL",$B51="FL",$B52="FL",$B53="FL",$B54="FL"),"-","FL")</f>
        <v>-</v>
      </c>
      <c r="M50" s="8" t="str">
        <f>IF($L50="-","","ENT")</f>
        <v/>
      </c>
      <c r="N50" s="41" t="str">
        <f>IF(OR($B47="St3",$B48="St3",$B49="St3",$B50="St3",$B51="St3",$B52="St3",$B53="St3"),"-",IF(OR($B47="St31/2",$B48="St31/2",$B49="St31/2",$B50="St31/2",$B51="St31/2",$B52="St31/2",$B53="St31/2"),"-","St3"))</f>
        <v>St3</v>
      </c>
      <c r="O50" s="38" t="str">
        <f>IF($I50="-","",IF($I50="Stagiaire3","LOU",""))</f>
        <v/>
      </c>
      <c r="P50" s="60"/>
      <c r="Q50" s="96"/>
      <c r="R50" s="95" t="s">
        <v>0</v>
      </c>
      <c r="S50" s="103" t="s">
        <v>5</v>
      </c>
      <c r="T50" s="104" t="s">
        <v>8</v>
      </c>
    </row>
    <row r="51" spans="1:20" s="5" customFormat="1" ht="14" customHeight="1" thickTop="1">
      <c r="A51" s="84"/>
      <c r="B51" s="47"/>
      <c r="C51" s="13"/>
      <c r="D51" s="7" t="str">
        <f>IF(OR($B46="A",$B47="A",$B48="A",$B49="A",$B50="A",$B51="A",$B52="A"),"-",IF(OR($B46="A1/2",$B47="A1/2",$B48="A1/2",$B49="A1/2",$B50="A1/2",$B51="A1/2",$B52="A1/2"),"-","A"))</f>
        <v>A</v>
      </c>
      <c r="E51" s="45" t="str">
        <f>IF($D51="-","",IF(AND($D52="-",$J52=""),"LOU",IF(AND($D52="-",$J52="LOU"),"LST",IF(AND($E52="CAI",$J52=""),"LOU",IF(AND($E47="Bassin",$E46=""),"PCig",IF(AND($J52="",$E47="PCig",$J46=""),"Anx","LST"))))))</f>
        <v>LOU</v>
      </c>
      <c r="F51" s="60"/>
      <c r="G51" s="60"/>
      <c r="H51" s="20"/>
      <c r="I51" s="41" t="str">
        <f>IF(OR($B47="St2",$B48="St2",$B49="St2",$B50="St2",$B51="St2",$B52="St2",$B53="St2"),"-",IF(OR($B47="St21/2",$B48="St21/2",$B49="St21/2",$B50="St21/2",$B51="St21/2",$B52="St21/2",$B53="St21/2"),"-","St2"))</f>
        <v>St2</v>
      </c>
      <c r="J51" s="38" t="str">
        <f>IF($I51="-","",IF($I51="Stagiaire2","LOU",""))</f>
        <v/>
      </c>
      <c r="K51" s="60"/>
      <c r="L51" s="7" t="str">
        <f>IF(OR($B46="A",$B47="A",$B48="A",$B49="A",$B50="A",$B51="A",$B52="A"),"-","A")</f>
        <v>A</v>
      </c>
      <c r="M51" s="8" t="str">
        <f>IF($L51="-","",IF(AND($L52="-",$O52=""),"LOU",IF(AND($M52="CAI",$O52=""),"LOU",IF(AND($M52="-",$O52="LOU"),"LST",IF(AND($O52="LOU",$M52="CAI"),"LST",IF(AND($O52="LOU",$M52=""),"LST","LST"))))))</f>
        <v>LOU</v>
      </c>
      <c r="N51" s="41" t="str">
        <f>IF(OR($B48="St2",$B49="St2",$B50="St2",$B51="St2",$B52="St2",$B53="St2",$B54="St2"),"-",IF(OR($B48="St21/2",$B49="St21/2",$B50="St21/2",$B51="St21/2",$B52="St21/2",$B53="St21/2",$B54="St21/2"),"-","St2"))</f>
        <v>St2</v>
      </c>
      <c r="O51" s="38" t="str">
        <f>IF($I51="-","",IF($I51="Stagiaire2","LOU",""))</f>
        <v/>
      </c>
      <c r="P51" s="60"/>
      <c r="Q51" s="63"/>
      <c r="R51" s="64" t="s">
        <v>89</v>
      </c>
      <c r="S51" s="66" t="s">
        <v>84</v>
      </c>
      <c r="T51" s="67" t="s">
        <v>88</v>
      </c>
    </row>
    <row r="52" spans="1:20" s="5" customFormat="1" ht="14" customHeight="1">
      <c r="A52" s="75" t="s">
        <v>13</v>
      </c>
      <c r="B52" s="48" t="s">
        <v>22</v>
      </c>
      <c r="C52" s="13"/>
      <c r="D52" s="10" t="str">
        <f>IF(OR($B46="AL",$B47="AL",$B48="AL",$B49="AL",$B50="AL",$B51="AL",$B52="AL"),"-",IF(OR($B46="AL1/2",$B47="AL1/2",$B48="AL1/2",$B49="AL1/2",$B50="AL1/2",$B51="AL1/2",$B52="AL1/2"),"-","AL"))</f>
        <v>AL</v>
      </c>
      <c r="E52" s="46" t="str">
        <f>IF($D52="-","",IF(AND($I47="-",$I48="-",$J52="LOU"),"CAI",IF(AND($J48="CAI",$J52="LOU"),"LST",IF(AND($I47="-",$J48="BAR"),"CAI","LST"))))</f>
        <v>CAI</v>
      </c>
      <c r="F52" s="37"/>
      <c r="G52" s="37"/>
      <c r="H52" s="51"/>
      <c r="I52" s="42" t="str">
        <f>IF(OR($B48="St1",$B49="St1",$B50="St1",$B51="St1",$B52="St1",$B53="St1",$B54="St1"),"-",IF(OR($B48="St11/2",$B49="St11/2",$B50="St11/2",$B51="St11/2",$B52="St11/2",$B53="St11/2",$B54="St11/2"),"-","St1"))</f>
        <v>St1</v>
      </c>
      <c r="J52" s="39" t="str">
        <f>IF($I52="-","",IF($I52="St1","",""))</f>
        <v/>
      </c>
      <c r="K52" s="60"/>
      <c r="L52" s="10" t="str">
        <f>IF(OR($B46="AL",$B47="AL",$B48="AL",$B49="AL",$B50="AL",$B51="AL",$B52="AL"),"-","AL")</f>
        <v>AL</v>
      </c>
      <c r="M52" s="11" t="str">
        <f>IF($L52="-","",IF(AND($N47="-",$N52="-"),"LOU",IF(AND($N47="-",$N52="St1"),"CAI",IF($O52="LOU","BUR","LOU"))))</f>
        <v>CAI</v>
      </c>
      <c r="N52" s="42" t="str">
        <f>IF(OR($B49="St1",$B50="St1",$B51="St1",$B52="St1",$B53="St1",$B54="St1",$B55="St1"),"-",IF(OR($B49="St11/2",$B50="St11/2",$B51="St11/2",$B52="St11/2",$B53="St11/2",$B54="St11/2",$B55="St11/2"),"-","St1"))</f>
        <v>St1</v>
      </c>
      <c r="O52" s="39" t="str">
        <f>IF($I52="-","",IF($I52="St1","",""))</f>
        <v/>
      </c>
      <c r="P52" s="60"/>
      <c r="Q52" s="62"/>
      <c r="R52" s="59" t="s">
        <v>87</v>
      </c>
      <c r="S52" s="77" t="str">
        <f>IF($E51="LOU","A",IF($E52="LOU","AL",IF($J52="LOU","ST","QUI")))</f>
        <v>A</v>
      </c>
      <c r="T52" s="77" t="str">
        <f>IF(AND($A52="*",$M51="LOU"),"A",IF(AND($A52="*",$M52="LOU"),"AL",IF(AND($A52="*",$O52="LOU"),"ST",IF(AND($A52="",$E51="LOU"),"A",IF(AND($A52="",$E52="LOU"),"AL",IF(AND($A52="",$J52="LOU"),"ST","QUI"))))))</f>
        <v>A</v>
      </c>
    </row>
    <row r="53" spans="1:20" s="18" customFormat="1" ht="4" customHeight="1">
      <c r="A53" s="76"/>
      <c r="B53" s="15"/>
      <c r="C53" s="13"/>
      <c r="D53" s="16"/>
      <c r="E53" s="60"/>
      <c r="F53" s="60"/>
      <c r="G53" s="60"/>
      <c r="H53" s="60"/>
      <c r="I53" s="60"/>
      <c r="J53" s="60"/>
      <c r="K53" s="60"/>
      <c r="L53" s="16"/>
      <c r="M53" s="60"/>
      <c r="N53" s="60"/>
      <c r="O53" s="60"/>
      <c r="P53" s="60"/>
    </row>
    <row r="54" spans="1:20" s="5" customFormat="1" ht="14" customHeight="1" thickBot="1">
      <c r="A54" s="80">
        <f>G2+6</f>
        <v>41420</v>
      </c>
      <c r="B54" s="2" t="s">
        <v>90</v>
      </c>
      <c r="C54" s="20"/>
      <c r="D54" s="3" t="str">
        <f>IF(OR($B54="J",$B55="J",$B56="J",$B57="J",$B58="J",$B59="J",$B60="J"),"-",IF(OR($B54="J1/2",$B55="J1/2",$B56="J1/2",$B57="J1/2",$B58="J1/2",$B59="J1/2",$B60="J1/2"),"-","J"))</f>
        <v>J</v>
      </c>
      <c r="E54" s="44" t="str">
        <f>IF($D54="-","","PCig")</f>
        <v>PCig</v>
      </c>
      <c r="F54" s="36"/>
      <c r="G54" s="36"/>
      <c r="H54" s="50"/>
      <c r="I54" s="3" t="str">
        <f>IF(OR($B54="M",$B55="M",$B56="M",$B57="M",$B58="M",$B59="M",$B60="M"),"-",IF(OR($B54="M1/2",$B55="M1/2",$B56="M1/2",$B57="M1/2",$B58="M1/2",$B59="M1/2",$B60="M1/2"),"-","M"))</f>
        <v>-</v>
      </c>
      <c r="J54" s="4" t="str">
        <f>IF($I54="-","",IF($D55="-","Anx",IF($E55="Pcig","Anx","BUR")))</f>
        <v/>
      </c>
      <c r="K54" s="60"/>
      <c r="L54" s="3" t="str">
        <f>IF(OR($B54="J",$B55="J",$B56="J",$B57="J",$B58="J",$B59="J",$B60="J"),"-","J")</f>
        <v>J</v>
      </c>
      <c r="M54" s="4" t="str">
        <f>IF($L54="-","",IF($O57="SP2","LST",IF(AND($L55="-",$L60="-"),"SP2",IF(AND($L56="-",$M59="LOU"),"SP2",IF(AND($M60="CAI",$M59="LOU"),"SP2","SP2")))))</f>
        <v>SP2</v>
      </c>
      <c r="N54" s="3" t="str">
        <f>IF(OR($B53="M",$B54="M",$B55="M",$B56="M",$B57="M",$B58="M",$B59="M"),"-","M")</f>
        <v>-</v>
      </c>
      <c r="O54" s="21" t="str">
        <f>IF($N54="-","",IF($L54="-","SP3",IF(AND($M59="LOU",$M56=""),"SP2",IF(AND($M59="LOU",$M60="CAI",$M56="SP3"),"BUR",IF(AND($M59="LOU",$M60="CAI",$M56="SP1"),"SP2",IF(AND($L55="-",$L59="-"),"SP2","SP3"))))))</f>
        <v/>
      </c>
      <c r="P54" s="60"/>
      <c r="Q54" s="35"/>
      <c r="R54" s="26"/>
      <c r="S54" s="65" t="s">
        <v>82</v>
      </c>
      <c r="T54" s="100" t="s">
        <v>84</v>
      </c>
    </row>
    <row r="55" spans="1:20" s="5" customFormat="1" ht="14" customHeight="1" thickTop="1">
      <c r="A55" s="81"/>
      <c r="B55" s="6" t="s">
        <v>107</v>
      </c>
      <c r="C55" s="20"/>
      <c r="D55" s="7" t="str">
        <f>IF(OR($B54="W",$B55="W",$B56="W",$B57="W",$B58="W",$B59="W",$B60="W"),"-",IF(OR($B$6="W1/2",$B55="W1/2",$B56="W1/2",$B57="W1/2",$B58="W1/2",$B59="W1/2",$B60="W1/2"),"-","W"))</f>
        <v>W</v>
      </c>
      <c r="E55" s="45" t="str">
        <f>IF($D55="-","",IF($D54="-","PCig",IF($E54="PCig","Anx","LST")))</f>
        <v>Anx</v>
      </c>
      <c r="F55" s="60"/>
      <c r="G55" s="60"/>
      <c r="H55" s="20"/>
      <c r="I55" s="71" t="str">
        <f>IF(OR($B54="H",$B55="H",$B56="H",$B57="H",$B58="H",$B59="H",$B60="H"),"-",IF(OR($B54="H1/2",$B55="H1/2",$B56="H1/2",$B57="H1/2",$B58="H1/2",$B59="H1/2",$B60="H1/2"),"-","H"))</f>
        <v>-</v>
      </c>
      <c r="J55" s="73" t="str">
        <f>IF($I55="-","","CAI")</f>
        <v/>
      </c>
      <c r="K55" s="60"/>
      <c r="L55" s="7" t="str">
        <f>IF(OR($B54="W",$B55="W",$B56="W",$B57="W",$B58="W",$B59="W",$B60="W"),"-","W")</f>
        <v>W</v>
      </c>
      <c r="M55" s="8" t="str">
        <f>IF($L55="-","","SP1")</f>
        <v>SP1</v>
      </c>
      <c r="N55" s="71" t="str">
        <f>IF(OR($B54="H",$B55="H",$B56="H",$B57="H",$B58="H",$B59="H",$B60="H"),"-","H")</f>
        <v>-</v>
      </c>
      <c r="O55" s="72" t="str">
        <f>IF($N55="-","","CAI")</f>
        <v/>
      </c>
      <c r="P55" s="60"/>
      <c r="Q55" s="54"/>
      <c r="R55" s="57" t="s">
        <v>81</v>
      </c>
      <c r="S55" s="98" t="str">
        <f>IF(AND($A60="*",$J55="CAI"),"H",IF(AND($A60="*",$J56="CAI"),"V",IF(AND($A60="*",$E60="CAI"),"AL","-")))</f>
        <v>AL</v>
      </c>
      <c r="T55" s="101" t="s">
        <v>12</v>
      </c>
    </row>
    <row r="56" spans="1:20" s="5" customFormat="1" ht="14" customHeight="1" thickBot="1">
      <c r="A56" s="84" t="s">
        <v>38</v>
      </c>
      <c r="B56" s="6"/>
      <c r="C56" s="20"/>
      <c r="D56" s="7" t="str">
        <f>IF(OR($B54="T",$B55="T",$B56="T",$B57="T",$B58="T",$B59="T",$B60="T"),"-",IF(OR($B54="T1/2",$B55="T1/2",$B56="T1/2",$B57="T1/2",$B58="T1/2",$B59="T1/2",$B60="T1/2"),"-","T"))</f>
        <v>-</v>
      </c>
      <c r="E56" s="45" t="str">
        <f>IF($D56="-","",IF(AND($E59="LOU",$D55="-",$J54=""),"Anx",IF(AND($D55="-",$J54=""),"Anx","LST")))</f>
        <v/>
      </c>
      <c r="F56" s="60"/>
      <c r="G56" s="60"/>
      <c r="H56" s="20"/>
      <c r="I56" s="7" t="str">
        <f>IF(OR($B54="V",$B55="V",$B56="V",$B57="V",$B58="V",$B59="V",$B60="V"),"-",IF(OR($B54="V1/2",$B55="V1/2",$B56="V1/2",$B57="V1/2",$B58="V1/2",$B59="V1/2",$B60="V1/2"),"-","V"))</f>
        <v>V</v>
      </c>
      <c r="J56" s="8" t="str">
        <f>IF($I56="-","",IF(AND($I55="-",$D60="-"),"CAI","BAR"))</f>
        <v>BAR</v>
      </c>
      <c r="K56" s="60"/>
      <c r="L56" s="7" t="str">
        <f>IF(OR($B54="T",$B55="T",$B56="T",$B57="T",$B58="T",$B59="T",$B60="T"),"-","T")</f>
        <v>-</v>
      </c>
      <c r="M56" s="8" t="str">
        <f>IF($L56="-","",IF($L55="-","SP1",IF(AND($M59="LOU",$N54="-",$M54="SP2"),"LST",IF(AND($M59="LOU",$N54="-",$L54="-"),"SP2",IF($L54="-","LST","LST")))))</f>
        <v/>
      </c>
      <c r="N56" s="7" t="str">
        <f>IF(OR($B54="V",$B55="V",$B56="V",$B57="V",$B58="V",$B59="V",$B60="V"),"-","V")</f>
        <v>V</v>
      </c>
      <c r="O56" s="22" t="str">
        <f>IF($N56="-","",IF(AND($N55="-",$N60="-"),"CAI","BAR"))</f>
        <v>BAR</v>
      </c>
      <c r="P56" s="60"/>
      <c r="Q56" s="53"/>
      <c r="R56" s="58" t="s">
        <v>86</v>
      </c>
      <c r="S56" s="99" t="s">
        <v>9</v>
      </c>
      <c r="T56" s="102" t="s">
        <v>110</v>
      </c>
    </row>
    <row r="57" spans="1:20" s="5" customFormat="1" ht="14" customHeight="1" thickTop="1" thickBot="1">
      <c r="A57" s="84"/>
      <c r="B57" s="6"/>
      <c r="C57" s="20"/>
      <c r="D57" s="7" t="str">
        <f>IF(OR($B54="F",$B55="F",$B56="F",$B57="F",$B58="F",$B59="F",$B60="F"),"-",IF(OR($B54="F1/2",$B55="F1/2",$B56="F1/2",$B57="F1/2",$B58="F1/2",$B59="F1/2",$B60="F1/2"),"-","F"))</f>
        <v>F</v>
      </c>
      <c r="E57" s="45" t="str">
        <f>IF($D57="-","","ENT")</f>
        <v>ENT</v>
      </c>
      <c r="F57" s="60"/>
      <c r="G57" s="60"/>
      <c r="H57" s="20"/>
      <c r="I57" s="7" t="str">
        <f>IF(OR($B54="C",$B55="C",$B56="C",$B57="C",$B58="C",$B59="C",$B60="C"),"-",IF(OR($B54="C1/2",$B55="C1/2",$B56="C1/2",$B57="C1/2",$B58="C1/2",$B59="C1/2",$B60="C1/2"),"-","C"))</f>
        <v>-</v>
      </c>
      <c r="J57" s="8" t="str">
        <f>IF($I57="-","",IF($I56="-","BAR",IF(AND($I55="-",$D60="-"),"CAI",IF($J56="CAI","BAR","BUR"))))</f>
        <v/>
      </c>
      <c r="K57" s="60"/>
      <c r="L57" s="7" t="str">
        <f>IF(OR($B55="F",$B56="F",$B57="F",$B58="F",$B59="F",$B60="F",$B61="F"),"-","F")</f>
        <v>F</v>
      </c>
      <c r="M57" s="8" t="str">
        <f>IF($L57="-","","ENT")</f>
        <v>ENT</v>
      </c>
      <c r="N57" s="7" t="str">
        <f>IF(OR($B54="C",$B55="C",$B56="C",$B57="C",$B58="C",$B59="C",$B60="C"),"-","C")</f>
        <v>-</v>
      </c>
      <c r="O57" s="8" t="str">
        <f>IF($I57="-","",IF($I56="-","BAR",IF(AND($I55="-",$D60="-"),"CAI",IF($O56="CAI","BAR",IF($O56="BAR","BUR","BUR")))))</f>
        <v/>
      </c>
      <c r="P57" s="60"/>
      <c r="Q57" s="53"/>
      <c r="R57" s="106" t="s">
        <v>4</v>
      </c>
      <c r="S57" s="77" t="s">
        <v>10</v>
      </c>
      <c r="T57" s="105" t="s">
        <v>3</v>
      </c>
    </row>
    <row r="58" spans="1:20" s="5" customFormat="1" ht="14" customHeight="1" thickTop="1" thickBot="1">
      <c r="A58" s="84"/>
      <c r="B58" s="79" t="s">
        <v>110</v>
      </c>
      <c r="C58" s="13"/>
      <c r="D58" s="9" t="str">
        <f>IF(OR($B54="FL",$B55="FL",$B56="FL",$B57="FL",$B58="FL",$B59="FL",$B60="FL"),"-",IF(OR($B54="FL1/2",$B55="FL1/2",$B56="FL1/2",$B57="FL1/2",$B58="FL1/2",$B59="FL1/2",$B60="FL1/2"),"-","FL"))</f>
        <v>-</v>
      </c>
      <c r="E58" s="45" t="str">
        <f>IF($D58="-","","ENT")</f>
        <v/>
      </c>
      <c r="F58" s="60"/>
      <c r="G58" s="60"/>
      <c r="H58" s="20"/>
      <c r="I58" s="41" t="str">
        <f>IF(OR($B54="St3",$B55="St3",$B56="St3",$B57="St3",$B58="St3",$B59="St3",$B60="St3"),"-",IF(OR($B54="St31/2",$B55="St31/2",$B56="St31/2",$B57="St31/2",$B58="St31/2",$B59="St31/2",$B60="St31/2"),"-","St3"))</f>
        <v>St3</v>
      </c>
      <c r="J58" s="38" t="str">
        <f>IF($I58="-","",IF($I58="Stagiaire3","LOU",""))</f>
        <v/>
      </c>
      <c r="K58" s="60"/>
      <c r="L58" s="7" t="str">
        <f>IF(OR($B56="FL",$B57="FL",$B58="FL",$B59="FL",$B60="FL",$B61="FL",$B62="FL"),"-","FL")</f>
        <v>-</v>
      </c>
      <c r="M58" s="8" t="str">
        <f>IF($L58="-","","ENT")</f>
        <v/>
      </c>
      <c r="N58" s="41" t="str">
        <f>IF(OR($B55="St3",$B56="St3",$B57="St3",$B58="St3",$B59="St3",$B60="St3",$B61="St3"),"-",IF(OR($B55="St31/2",$B56="St31/2",$B57="St31/2",$B58="St31/2",$B59="St31/2",$B60="St31/2",$B61="St31/2"),"-","St3"))</f>
        <v>St3</v>
      </c>
      <c r="O58" s="38" t="str">
        <f>IF($I58="-","",IF($I58="Stagiaire3","LOU",""))</f>
        <v/>
      </c>
      <c r="P58" s="60"/>
      <c r="Q58" s="96"/>
      <c r="R58" s="95" t="s">
        <v>0</v>
      </c>
      <c r="S58" s="103" t="s">
        <v>10</v>
      </c>
      <c r="T58" s="104" t="s">
        <v>11</v>
      </c>
    </row>
    <row r="59" spans="1:20" s="5" customFormat="1" ht="14" customHeight="1" thickTop="1">
      <c r="A59" s="84"/>
      <c r="B59" s="79" t="s">
        <v>109</v>
      </c>
      <c r="C59" s="13"/>
      <c r="D59" s="7" t="str">
        <f>IF(OR($B54="A",$B55="A",$B56="A",$B57="A",$B58="A",$B59="A",$B60="A"),"-",IF(OR($B54="A1/2",$B55="A1/2",$B56="A1/2",$B57="A1/2",$B58="A1/2",$B59="A1/2",$B60="A1/2"),"-","A"))</f>
        <v>A</v>
      </c>
      <c r="E59" s="45" t="str">
        <f>IF($D59="-","",IF(AND($D60="-",$J60=""),"LOU",IF(AND($D60="-",$J60="LOU"),"LST",IF(AND($E60="CAI",$J60=""),"LOU",IF(AND($E55="Bassin",$E54=""),"PCig",IF(AND($J60="",$E55="PCig",$J54=""),"Anx","LST"))))))</f>
        <v>LOU</v>
      </c>
      <c r="F59" s="60"/>
      <c r="G59" s="60"/>
      <c r="H59" s="20"/>
      <c r="I59" s="41" t="str">
        <f>IF(OR($B55="St2",$B56="St2",$B57="St2",$B58="St2",$B59="St2",$B60="St2",$B61="St2"),"-",IF(OR($B55="St21/2",$B56="St21/2",$B57="St21/2",$B58="St21/2",$B59="St21/2",$B60="St21/2",$B61="St21/2"),"-","St2"))</f>
        <v>St2</v>
      </c>
      <c r="J59" s="38" t="str">
        <f>IF($I59="-","",IF($I59="Stagiaire2","LOU",""))</f>
        <v/>
      </c>
      <c r="K59" s="60"/>
      <c r="L59" s="7" t="str">
        <f>IF(OR($B54="A",$B55="A",$B56="A",$B57="A",$B58="A",$B59="A",$B60="A"),"-","A")</f>
        <v>A</v>
      </c>
      <c r="M59" s="8" t="str">
        <f>IF($L59="-","",IF(AND($L60="-",$O60=""),"LOU",IF(AND($M60="CAI",$O60=""),"LOU",IF(AND($M60="-",$O60="LOU"),"LST",IF(AND($O60="LOU",$M60="CAI"),"LST",IF(AND($O60="LOU",$M60=""),"LST","LST"))))))</f>
        <v>LOU</v>
      </c>
      <c r="N59" s="41" t="str">
        <f>IF(OR($B56="St2",$B57="St2",$B58="St2",$B59="St2",$B60="St2",$B61="St2",$B62="St2"),"-",IF(OR($B56="St21/2",$B57="St21/2",$B58="St21/2",$B59="St21/2",$B60="St21/2",$B61="St21/2",$B62="St21/2"),"-","St2"))</f>
        <v>St2</v>
      </c>
      <c r="O59" s="38" t="str">
        <f>IF($I59="-","",IF($I59="Stagiaire2","LOU",""))</f>
        <v/>
      </c>
      <c r="P59" s="60"/>
      <c r="Q59" s="63"/>
      <c r="R59" s="64" t="s">
        <v>89</v>
      </c>
      <c r="S59" s="66" t="s">
        <v>84</v>
      </c>
      <c r="T59" s="67" t="s">
        <v>88</v>
      </c>
    </row>
    <row r="60" spans="1:20" s="5" customFormat="1" ht="14" customHeight="1">
      <c r="A60" s="75" t="s">
        <v>14</v>
      </c>
      <c r="B60" s="48" t="s">
        <v>22</v>
      </c>
      <c r="C60" s="13"/>
      <c r="D60" s="10" t="str">
        <f>IF(OR($B54="AL",$B55="AL",$B56="AL",$B57="AL",$B58="AL",$B59="AL",$B60="AL"),"-",IF(OR($B54="AL1/2",$B55="AL1/2",$B56="AL1/2",$B57="AL1/2",$B58="AL1/2",$B59="AL1/2",$B60="AL1/2"),"-","AL"))</f>
        <v>AL</v>
      </c>
      <c r="E60" s="46" t="str">
        <f>IF($D60="-","",IF(AND($I55="-",$I56="-",$J60="LOU"),"CAI",IF(AND($J56="CAI",$J60="LOU"),"LST",IF(AND($I55="-",$J56="BAR"),"CAI","LST"))))</f>
        <v>CAI</v>
      </c>
      <c r="F60" s="37"/>
      <c r="G60" s="37"/>
      <c r="H60" s="51"/>
      <c r="I60" s="42" t="str">
        <f>IF(OR($B56="St1",$B57="St1",$B58="St1",$B59="St1",$B60="St1",$B61="St1",$B62="St1"),"-",IF(OR($B56="St11/2",$B57="St11/2",$B58="St11/2",$B59="St11/2",$B60="St11/2",$B61="St11/2",$B62="St11/2"),"-","St1"))</f>
        <v>St1</v>
      </c>
      <c r="J60" s="39" t="str">
        <f>IF($I60="-","",IF($I60="St1","",""))</f>
        <v/>
      </c>
      <c r="K60" s="60"/>
      <c r="L60" s="10" t="str">
        <f>IF(OR($B54="AL",$B55="AL",$B56="AL",$B57="AL",$B58="AL",$B59="AL",$B60="AL"),"-","AL")</f>
        <v>AL</v>
      </c>
      <c r="M60" s="11" t="str">
        <f>IF($L60="-","",IF(AND($N55="-",$N60="-"),"LOU",IF(AND($N55="-",$N60="St1"),"CAI",IF($O60="LOU","BUR","LOU"))))</f>
        <v>CAI</v>
      </c>
      <c r="N60" s="42" t="str">
        <f>IF(OR($B57="St1",$B58="St1",$B59="St1",$B60="St1",$B61="St1",$B62="St1",$B63="St1"),"-",IF(OR($B57="St11/2",$B58="St11/2",$B59="St11/2",$B60="St11/2",$B61="St11/2",$B62="St11/2",$B63="St11/2"),"-","St1"))</f>
        <v>St1</v>
      </c>
      <c r="O60" s="39" t="str">
        <f>IF($I60="-","",IF($I60="St1","",""))</f>
        <v/>
      </c>
      <c r="P60" s="60"/>
      <c r="Q60" s="62"/>
      <c r="R60" s="59" t="s">
        <v>87</v>
      </c>
      <c r="S60" s="77" t="str">
        <f>IF($E59="LOU","A",IF($E60="LOU","AL",IF($J60="LOU","ST","QUI")))</f>
        <v>A</v>
      </c>
      <c r="T60" s="77" t="str">
        <f>IF(AND($A60="*",$M59="LOU"),"A",IF(AND($A60="*",$M60="LOU"),"AL",IF(AND($A60="*",$O60="LOU"),"ST",IF(AND($A60="",$E59="LOU"),"A",IF(AND($A60="",$E60="LOU"),"AL",IF(AND($A60="",$J60="LOU"),"ST","QUI"))))))</f>
        <v>A</v>
      </c>
    </row>
    <row r="61" spans="1:20" customFormat="1" ht="6" customHeight="1">
      <c r="D61" s="16"/>
      <c r="E61" s="60"/>
      <c r="F61" s="60"/>
      <c r="G61" s="60"/>
      <c r="H61" s="60"/>
      <c r="I61" s="60"/>
      <c r="J61" s="60"/>
      <c r="K61" s="60"/>
      <c r="L61" s="16"/>
      <c r="M61" s="60"/>
      <c r="N61" s="60"/>
      <c r="O61" s="60"/>
      <c r="P61" s="60"/>
      <c r="Q61" s="18"/>
      <c r="R61" s="18"/>
      <c r="S61" s="18"/>
      <c r="T61" s="18"/>
    </row>
    <row r="62" spans="1:20" customFormat="1" ht="13" customHeight="1"/>
    <row r="63" spans="1:20" customFormat="1" ht="13" customHeight="1"/>
    <row r="64" spans="1:20" customFormat="1" ht="13" customHeight="1"/>
    <row r="65" customFormat="1" ht="13" customHeight="1"/>
    <row r="66" customFormat="1" ht="13" customHeight="1"/>
    <row r="67" customFormat="1" ht="13" customHeight="1"/>
    <row r="68" customFormat="1" ht="13" customHeight="1"/>
  </sheetData>
  <mergeCells count="22">
    <mergeCell ref="A40:A43"/>
    <mergeCell ref="A48:A51"/>
    <mergeCell ref="A56:A59"/>
    <mergeCell ref="A46:A47"/>
    <mergeCell ref="A54:A55"/>
    <mergeCell ref="L4:O4"/>
    <mergeCell ref="D4:J4"/>
    <mergeCell ref="A3:D3"/>
    <mergeCell ref="E3:T3"/>
    <mergeCell ref="A2:F2"/>
    <mergeCell ref="N2:R2"/>
    <mergeCell ref="G2:H2"/>
    <mergeCell ref="J2:L2"/>
    <mergeCell ref="A6:A7"/>
    <mergeCell ref="A30:A31"/>
    <mergeCell ref="A38:A39"/>
    <mergeCell ref="A14:A15"/>
    <mergeCell ref="A22:A23"/>
    <mergeCell ref="A8:A11"/>
    <mergeCell ref="A16:A19"/>
    <mergeCell ref="A24:A27"/>
    <mergeCell ref="A32:A35"/>
  </mergeCells>
  <phoneticPr fontId="13" type="noConversion"/>
  <conditionalFormatting sqref="D6:O61">
    <cfRule type="expression" dxfId="10" priority="411">
      <formula>NOT(ISERROR(SEARCH("SP3",D6)))</formula>
    </cfRule>
    <cfRule type="expression" dxfId="9" priority="412">
      <formula>NOT(ISERROR(SEARCH("Anx",D6)))</formula>
    </cfRule>
    <cfRule type="expression" dxfId="8" priority="422">
      <formula>NOT(ISERROR(SEARCH("SP1",D6)))</formula>
    </cfRule>
    <cfRule type="expression" dxfId="7" priority="423">
      <formula>NOT(ISERROR(SEARCH("(SP)",D6)))</formula>
    </cfRule>
    <cfRule type="expression" dxfId="6" priority="424">
      <formula>NOT(ISERROR(SEARCH("SP2",D6)))</formula>
    </cfRule>
    <cfRule type="expression" dxfId="5" priority="425">
      <formula>NOT(ISERROR(SEARCH("CAI",D6)))</formula>
    </cfRule>
    <cfRule type="expression" dxfId="4" priority="426">
      <formula>NOT(ISERROR(SEARCH("ENT",D6)))</formula>
    </cfRule>
    <cfRule type="expression" dxfId="3" priority="427">
      <formula>NOT(ISERROR(SEARCH("LOU",D6)))</formula>
    </cfRule>
    <cfRule type="expression" dxfId="2" priority="428">
      <formula>NOT(ISERROR(SEARCH("LST",D6)))</formula>
    </cfRule>
    <cfRule type="expression" dxfId="1" priority="429">
      <formula>NOT(ISERROR(SEARCH("PCi",D6)))</formula>
    </cfRule>
    <cfRule type="expression" dxfId="0" priority="430">
      <formula>NOT(ISERROR(SEARCH("BAR",D6)))</formula>
    </cfRule>
  </conditionalFormatting>
  <dataValidations count="1">
    <dataValidation type="list" allowBlank="1" showInputMessage="1" showErrorMessage="1" sqref="I2">
      <formula1>date</formula1>
    </dataValidation>
  </dataValidations>
  <printOptions horizontalCentered="1"/>
  <pageMargins left="0.38976377952755908" right="0.38976377952755908" top="0.59055118110236227" bottom="0.24015748031496062" header="0.31102362204724415" footer="0.31102362204724415"/>
  <pageSetup paperSize="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Postes</vt:lpstr>
      <vt:lpstr>Noms</vt:lpstr>
      <vt:lpstr>Planning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Chloé Rolli</dc:creator>
  <cp:lastModifiedBy>C R</cp:lastModifiedBy>
  <cp:lastPrinted>2013-05-19T16:48:04Z</cp:lastPrinted>
  <dcterms:created xsi:type="dcterms:W3CDTF">2013-04-05T16:21:23Z</dcterms:created>
  <dcterms:modified xsi:type="dcterms:W3CDTF">2013-05-20T09:50:51Z</dcterms:modified>
</cp:coreProperties>
</file>