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codeName="ThisWorkbook" autoCompressPictures="0"/>
  <bookViews>
    <workbookView xWindow="0" yWindow="0" windowWidth="28800" windowHeight="16020" tabRatio="1000" firstSheet="1" activeTab="1"/>
  </bookViews>
  <sheets>
    <sheet name="FOCUS CULTURE" sheetId="18" state="hidden" r:id="rId1"/>
    <sheet name="FOCUS C" sheetId="19" r:id="rId2"/>
    <sheet name="FOCUS PARCELLE" sheetId="9" r:id="rId3"/>
    <sheet name="UTILISATIONS" sheetId="5" r:id="rId4"/>
    <sheet name="PARCELLAIRE" sheetId="4" r:id="rId5"/>
    <sheet name="ACHATS" sheetId="1" r:id="rId6"/>
    <sheet name="COUT MOYEN" sheetId="7" r:id="rId7"/>
    <sheet name="VARIETE" sheetId="3" r:id="rId8"/>
    <sheet name="ANNEE" sheetId="10" r:id="rId9"/>
  </sheets>
  <externalReferences>
    <externalReference r:id="rId10"/>
  </externalReferences>
  <definedNames>
    <definedName name="_xlnm._FilterDatabase" localSheetId="5" hidden="1">ACHATS!$A$1:$L$61</definedName>
    <definedName name="_xlnm._FilterDatabase" localSheetId="6" hidden="1">'COUT MOYEN'!$B$1:$E$1</definedName>
    <definedName name="_xlnm._FilterDatabase" localSheetId="0" hidden="1">'FOCUS CULTURE'!$I$6:$N$6</definedName>
    <definedName name="_xlnm._FilterDatabase" localSheetId="2" hidden="1">'FOCUS PARCELLE'!$I$6:$N$6</definedName>
    <definedName name="_xlnm._FilterDatabase" localSheetId="4" hidden="1">PARCELLAIRE!$A$1:$G$85</definedName>
    <definedName name="_xlnm._FilterDatabase" localSheetId="3" hidden="1">UTILISATIONS!$A$1:$O$542</definedName>
    <definedName name="ANNEE">OFFSET(UTILISATIONS!$A$2,,,COUNTA(UTILISATIONS!$C:$C)-1)</definedName>
    <definedName name="campagne">OFFSET(UTILISATIONS!$A$2,,,COUNTA(UTILISATIONS!$C:$C)-1)</definedName>
    <definedName name="categorie">OFFSET(UTILISATIONS!$G$2,,,COUNTA(UTILISATIONS!$C:$C)-1)</definedName>
    <definedName name="Col_Annee">OFFSET(PARCELLAIRE!$A$2,,,COUNT(PARCELLAIRE!$A:$A))</definedName>
    <definedName name="Col_Culture">OFFSET(Col_Annee,,1)</definedName>
    <definedName name="Col_Parcelle">OFFSET(Col_Annee,,3)</definedName>
    <definedName name="Col_Variete">OFFSET(Col_Annee,,2)</definedName>
    <definedName name="COLN">OFFSET(UTILISATIONS!$N$2,,,COUNTA(UTILISATIONS!$D:$D)-1)</definedName>
    <definedName name="CULTURE">OFFSET(VARIETE!$A$1,,,,COUNTA(VARIETE!$A$1:$H$1))</definedName>
    <definedName name="DATE">OFFSET(UTILISATIONS!$D$2,,,COUNTA(UTILISATIONS!$C:$C)-1)</definedName>
    <definedName name="DEPT">[1]VARIETE!$A$2</definedName>
    <definedName name="indice">OFFSET(UTILISATIONS!$O$2,,,COUNTA(UTILISATIONS!$C:$C)-1)</definedName>
    <definedName name="Liste_Annee">OFFSET('FOCUS CULTURE'!$Q$7,,,COUNT('FOCUS CULTURE'!$Q$7:$Q$27))</definedName>
    <definedName name="Liste_Culture">OFFSET('FOCUS CULTURE'!$R$7,,,COUNTIF('FOCUS CULTURE'!$R$7:$R$27,"?*"))</definedName>
    <definedName name="MONTANT">OFFSET(UTILISATIONS!$L$2,,,COUNTA(UTILISATIONS!$C:$C)-1)</definedName>
    <definedName name="NB.HA">OFFSET(UTILISATIONS!$I$2,,,COUNTA(UTILISATIONS!$C:$C)-1)</definedName>
    <definedName name="paran">OFFSET(PARCELLAIRE!$A$2,,,COUNT(PARCELLAIRE!$A:$A))</definedName>
    <definedName name="PARCELLE">OFFSET(UTILISATIONS!$C$2,,,COUNTA(UTILISATIONS!$C:$C)-1)</definedName>
    <definedName name="parcult">OFFSET(PARCELLAIRE!$B$2,,,COUNT(PARCELLAIRE!$A:$A))</definedName>
    <definedName name="parsurf">OFFSET(PARCELLAIRE!$F$2,,,COUNT(PARCELLAIRE!$A:$A))</definedName>
    <definedName name="parvar">OFFSET(PARCELLAIRE!$C$2,,,COUNT(PARCELLAIRE!$A:$A))</definedName>
    <definedName name="PRODUIT">OFFSET(UTILISATIONS!$E$2,,,COUNTA(UTILISATIONS!$D:$D)-1)</definedName>
    <definedName name="QTE.HA">OFFSET(UTILISATIONS!$H$2,,,COUNTA(UTILISATIONS!$C:$C)-1)</definedName>
    <definedName name="VARIETE">PARCELLAIRE!$C$2</definedName>
    <definedName name="WHEN" localSheetId="0">'FOCUS CULTURE'!$F$7</definedName>
    <definedName name="WHEN">'FOCUS PARCELLE'!$F$7</definedName>
    <definedName name="WHERE" localSheetId="0">'FOCUS CULTURE'!$F$9</definedName>
    <definedName name="WHERE">'FOCUS PARCELLE'!$F$8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5" l="1"/>
  <c r="N372" i="5"/>
  <c r="N371" i="5"/>
  <c r="N367" i="5"/>
  <c r="N2" i="5"/>
  <c r="H2" i="4"/>
  <c r="H19" i="4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8" i="5"/>
  <c r="N369" i="5"/>
  <c r="N370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F12" i="9"/>
  <c r="F11" i="9"/>
  <c r="G369" i="5"/>
  <c r="J7" i="9" a="1"/>
  <c r="J7" i="9"/>
  <c r="J8" i="9" a="1"/>
  <c r="J8" i="9"/>
  <c r="J9" i="9" a="1"/>
  <c r="J10" i="9" a="1"/>
  <c r="J11" i="9" a="1"/>
  <c r="J12" i="9" a="1"/>
  <c r="J13" i="9" a="1"/>
  <c r="J14" i="9" a="1"/>
  <c r="J15" i="9" a="1"/>
  <c r="J16" i="9" a="1"/>
  <c r="J17" i="9" a="1"/>
  <c r="J18" i="9" a="1"/>
  <c r="J19" i="9" a="1"/>
  <c r="J20" i="9" a="1"/>
  <c r="J21" i="9" a="1"/>
  <c r="J22" i="9" a="1"/>
  <c r="J23" i="9" a="1"/>
  <c r="J24" i="9" a="1"/>
  <c r="J25" i="9" a="1"/>
  <c r="J26" i="9" a="1"/>
  <c r="J27" i="9" a="1"/>
  <c r="J28" i="9" a="1"/>
  <c r="J29" i="9" a="1"/>
  <c r="J30" i="9" a="1"/>
  <c r="J31" i="9" a="1"/>
  <c r="J32" i="9" a="1"/>
  <c r="J33" i="9" a="1"/>
  <c r="J34" i="9" a="1"/>
  <c r="J35" i="9" a="1"/>
  <c r="J36" i="9" a="1"/>
  <c r="J37" i="9" a="1"/>
  <c r="K369" i="5"/>
  <c r="I369" i="5"/>
  <c r="J369" i="5"/>
  <c r="L369" i="5"/>
  <c r="N7" i="9" a="1"/>
  <c r="N8" i="9" a="1"/>
  <c r="N9" i="9" a="1"/>
  <c r="N10" i="9" a="1"/>
  <c r="N11" i="9" a="1"/>
  <c r="N12" i="9" a="1"/>
  <c r="N13" i="9" a="1"/>
  <c r="N14" i="9" a="1"/>
  <c r="N15" i="9" a="1"/>
  <c r="N16" i="9" a="1"/>
  <c r="N17" i="9" a="1"/>
  <c r="N18" i="9" a="1"/>
  <c r="N19" i="9" a="1"/>
  <c r="N20" i="9" a="1"/>
  <c r="N21" i="9" a="1"/>
  <c r="N22" i="9" a="1"/>
  <c r="N23" i="9" a="1"/>
  <c r="N24" i="9" a="1"/>
  <c r="N25" i="9" a="1"/>
  <c r="N26" i="9" a="1"/>
  <c r="N27" i="9" a="1"/>
  <c r="N28" i="9" a="1"/>
  <c r="N29" i="9" a="1"/>
  <c r="N30" i="9" a="1"/>
  <c r="N31" i="9" a="1"/>
  <c r="N32" i="9" a="1"/>
  <c r="N33" i="9" a="1"/>
  <c r="N34" i="9" a="1"/>
  <c r="N35" i="9" a="1"/>
  <c r="N36" i="9" a="1"/>
  <c r="N37" i="9" a="1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F15" i="9"/>
  <c r="F16" i="9"/>
  <c r="F17" i="9"/>
  <c r="F18" i="9"/>
  <c r="F19" i="9"/>
  <c r="F20" i="9"/>
  <c r="F14" i="9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E12" i="19"/>
  <c r="K366" i="5"/>
  <c r="I366" i="5"/>
  <c r="J366" i="5"/>
  <c r="L366" i="5"/>
  <c r="G366" i="5"/>
  <c r="K362" i="5"/>
  <c r="I362" i="5"/>
  <c r="J362" i="5"/>
  <c r="L362" i="5"/>
  <c r="G362" i="5"/>
  <c r="C25" i="7"/>
  <c r="D25" i="7"/>
  <c r="E25" i="7"/>
  <c r="K2" i="5"/>
  <c r="I2" i="5"/>
  <c r="J2" i="5"/>
  <c r="L2" i="5"/>
  <c r="K3" i="5"/>
  <c r="I3" i="5"/>
  <c r="J3" i="5"/>
  <c r="L3" i="5"/>
  <c r="K4" i="5"/>
  <c r="I4" i="5"/>
  <c r="J4" i="5"/>
  <c r="L4" i="5"/>
  <c r="K5" i="5"/>
  <c r="I5" i="5"/>
  <c r="J5" i="5"/>
  <c r="L5" i="5"/>
  <c r="K6" i="5"/>
  <c r="I6" i="5"/>
  <c r="J6" i="5"/>
  <c r="L6" i="5"/>
  <c r="K7" i="5"/>
  <c r="I7" i="5"/>
  <c r="J7" i="5"/>
  <c r="L7" i="5"/>
  <c r="K8" i="5"/>
  <c r="I8" i="5"/>
  <c r="J8" i="5"/>
  <c r="L8" i="5"/>
  <c r="K9" i="5"/>
  <c r="I9" i="5"/>
  <c r="J9" i="5"/>
  <c r="L9" i="5"/>
  <c r="K10" i="5"/>
  <c r="I10" i="5"/>
  <c r="J10" i="5"/>
  <c r="L10" i="5"/>
  <c r="C29" i="7"/>
  <c r="D29" i="7"/>
  <c r="E29" i="7"/>
  <c r="K11" i="5"/>
  <c r="I11" i="5"/>
  <c r="J11" i="5"/>
  <c r="L11" i="5"/>
  <c r="K12" i="5"/>
  <c r="I12" i="5"/>
  <c r="J12" i="5"/>
  <c r="L12" i="5"/>
  <c r="K13" i="5"/>
  <c r="I13" i="5"/>
  <c r="J13" i="5"/>
  <c r="L13" i="5"/>
  <c r="K14" i="5"/>
  <c r="I14" i="5"/>
  <c r="J14" i="5"/>
  <c r="L14" i="5"/>
  <c r="C13" i="7"/>
  <c r="D13" i="7"/>
  <c r="E13" i="7"/>
  <c r="K15" i="5"/>
  <c r="I15" i="5"/>
  <c r="J15" i="5"/>
  <c r="L15" i="5"/>
  <c r="K16" i="5"/>
  <c r="I16" i="5"/>
  <c r="J16" i="5"/>
  <c r="L16" i="5"/>
  <c r="K17" i="5"/>
  <c r="I17" i="5"/>
  <c r="J17" i="5"/>
  <c r="L17" i="5"/>
  <c r="K18" i="5"/>
  <c r="I18" i="5"/>
  <c r="J18" i="5"/>
  <c r="L18" i="5"/>
  <c r="K19" i="5"/>
  <c r="I19" i="5"/>
  <c r="J19" i="5"/>
  <c r="L19" i="5"/>
  <c r="K20" i="5"/>
  <c r="I20" i="5"/>
  <c r="J20" i="5"/>
  <c r="L20" i="5"/>
  <c r="K21" i="5"/>
  <c r="I21" i="5"/>
  <c r="J21" i="5"/>
  <c r="L21" i="5"/>
  <c r="K22" i="5"/>
  <c r="I22" i="5"/>
  <c r="J22" i="5"/>
  <c r="L22" i="5"/>
  <c r="K23" i="5"/>
  <c r="I23" i="5"/>
  <c r="J23" i="5"/>
  <c r="L23" i="5"/>
  <c r="K24" i="5"/>
  <c r="I24" i="5"/>
  <c r="J24" i="5"/>
  <c r="L24" i="5"/>
  <c r="C16" i="7"/>
  <c r="D16" i="7"/>
  <c r="E16" i="7"/>
  <c r="K25" i="5"/>
  <c r="I25" i="5"/>
  <c r="J25" i="5"/>
  <c r="L25" i="5"/>
  <c r="K26" i="5"/>
  <c r="I26" i="5"/>
  <c r="J26" i="5"/>
  <c r="L26" i="5"/>
  <c r="K27" i="5"/>
  <c r="I27" i="5"/>
  <c r="J27" i="5"/>
  <c r="L27" i="5"/>
  <c r="K28" i="5"/>
  <c r="I28" i="5"/>
  <c r="J28" i="5"/>
  <c r="L28" i="5"/>
  <c r="K29" i="5"/>
  <c r="I29" i="5"/>
  <c r="J29" i="5"/>
  <c r="L29" i="5"/>
  <c r="K30" i="5"/>
  <c r="I30" i="5"/>
  <c r="J30" i="5"/>
  <c r="L30" i="5"/>
  <c r="K31" i="5"/>
  <c r="I31" i="5"/>
  <c r="J31" i="5"/>
  <c r="L31" i="5"/>
  <c r="K32" i="5"/>
  <c r="I32" i="5"/>
  <c r="J32" i="5"/>
  <c r="L32" i="5"/>
  <c r="K33" i="5"/>
  <c r="I33" i="5"/>
  <c r="J33" i="5"/>
  <c r="L33" i="5"/>
  <c r="K34" i="5"/>
  <c r="I34" i="5"/>
  <c r="J34" i="5"/>
  <c r="L34" i="5"/>
  <c r="K35" i="5"/>
  <c r="I35" i="5"/>
  <c r="J35" i="5"/>
  <c r="L35" i="5"/>
  <c r="K36" i="5"/>
  <c r="I36" i="5"/>
  <c r="J36" i="5"/>
  <c r="L36" i="5"/>
  <c r="K37" i="5"/>
  <c r="I37" i="5"/>
  <c r="J37" i="5"/>
  <c r="L37" i="5"/>
  <c r="K38" i="5"/>
  <c r="I38" i="5"/>
  <c r="J38" i="5"/>
  <c r="L38" i="5"/>
  <c r="C40" i="7"/>
  <c r="D40" i="7"/>
  <c r="E40" i="7"/>
  <c r="K39" i="5"/>
  <c r="I39" i="5"/>
  <c r="J39" i="5"/>
  <c r="L39" i="5"/>
  <c r="K41" i="5"/>
  <c r="I41" i="5"/>
  <c r="J41" i="5"/>
  <c r="L41" i="5"/>
  <c r="K42" i="5"/>
  <c r="I42" i="5"/>
  <c r="J42" i="5"/>
  <c r="L42" i="5"/>
  <c r="K43" i="5"/>
  <c r="I43" i="5"/>
  <c r="J43" i="5"/>
  <c r="L43" i="5"/>
  <c r="K44" i="5"/>
  <c r="I44" i="5"/>
  <c r="J44" i="5"/>
  <c r="L44" i="5"/>
  <c r="K45" i="5"/>
  <c r="I45" i="5"/>
  <c r="J45" i="5"/>
  <c r="L45" i="5"/>
  <c r="K46" i="5"/>
  <c r="I46" i="5"/>
  <c r="J46" i="5"/>
  <c r="L46" i="5"/>
  <c r="K47" i="5"/>
  <c r="I47" i="5"/>
  <c r="J47" i="5"/>
  <c r="L47" i="5"/>
  <c r="K48" i="5"/>
  <c r="I48" i="5"/>
  <c r="J48" i="5"/>
  <c r="L48" i="5"/>
  <c r="K49" i="5"/>
  <c r="I49" i="5"/>
  <c r="J49" i="5"/>
  <c r="L49" i="5"/>
  <c r="K50" i="5"/>
  <c r="I50" i="5"/>
  <c r="J50" i="5"/>
  <c r="L50" i="5"/>
  <c r="K51" i="5"/>
  <c r="I51" i="5"/>
  <c r="J51" i="5"/>
  <c r="L51" i="5"/>
  <c r="K52" i="5"/>
  <c r="I52" i="5"/>
  <c r="J52" i="5"/>
  <c r="L52" i="5"/>
  <c r="K53" i="5"/>
  <c r="I53" i="5"/>
  <c r="J53" i="5"/>
  <c r="L53" i="5"/>
  <c r="K54" i="5"/>
  <c r="I54" i="5"/>
  <c r="J54" i="5"/>
  <c r="L54" i="5"/>
  <c r="K55" i="5"/>
  <c r="I55" i="5"/>
  <c r="J55" i="5"/>
  <c r="L55" i="5"/>
  <c r="K56" i="5"/>
  <c r="I56" i="5"/>
  <c r="J56" i="5"/>
  <c r="L56" i="5"/>
  <c r="K57" i="5"/>
  <c r="I57" i="5"/>
  <c r="J57" i="5"/>
  <c r="L57" i="5"/>
  <c r="K58" i="5"/>
  <c r="I58" i="5"/>
  <c r="J58" i="5"/>
  <c r="L58" i="5"/>
  <c r="C39" i="7"/>
  <c r="D39" i="7"/>
  <c r="E39" i="7"/>
  <c r="K59" i="5"/>
  <c r="I59" i="5"/>
  <c r="J59" i="5"/>
  <c r="L59" i="5"/>
  <c r="C26" i="7"/>
  <c r="D26" i="7"/>
  <c r="E26" i="7"/>
  <c r="K60" i="5"/>
  <c r="I60" i="5"/>
  <c r="J60" i="5"/>
  <c r="L60" i="5"/>
  <c r="K61" i="5"/>
  <c r="I61" i="5"/>
  <c r="J61" i="5"/>
  <c r="L61" i="5"/>
  <c r="C19" i="7"/>
  <c r="D19" i="7"/>
  <c r="E19" i="7"/>
  <c r="K62" i="5"/>
  <c r="I62" i="5"/>
  <c r="J62" i="5"/>
  <c r="L62" i="5"/>
  <c r="K63" i="5"/>
  <c r="I63" i="5"/>
  <c r="J63" i="5"/>
  <c r="L63" i="5"/>
  <c r="K64" i="5"/>
  <c r="I64" i="5"/>
  <c r="J64" i="5"/>
  <c r="L64" i="5"/>
  <c r="K65" i="5"/>
  <c r="I65" i="5"/>
  <c r="J65" i="5"/>
  <c r="L65" i="5"/>
  <c r="C27" i="7"/>
  <c r="D27" i="7"/>
  <c r="E27" i="7"/>
  <c r="K66" i="5"/>
  <c r="I66" i="5"/>
  <c r="J66" i="5"/>
  <c r="L66" i="5"/>
  <c r="C20" i="7"/>
  <c r="D20" i="7"/>
  <c r="E20" i="7"/>
  <c r="K67" i="5"/>
  <c r="I67" i="5"/>
  <c r="J67" i="5"/>
  <c r="L67" i="5"/>
  <c r="K69" i="5"/>
  <c r="I69" i="5"/>
  <c r="J69" i="5"/>
  <c r="L69" i="5"/>
  <c r="K70" i="5"/>
  <c r="I70" i="5"/>
  <c r="J70" i="5"/>
  <c r="L70" i="5"/>
  <c r="K71" i="5"/>
  <c r="I71" i="5"/>
  <c r="J71" i="5"/>
  <c r="L71" i="5"/>
  <c r="K72" i="5"/>
  <c r="I72" i="5"/>
  <c r="J72" i="5"/>
  <c r="L72" i="5"/>
  <c r="K73" i="5"/>
  <c r="I73" i="5"/>
  <c r="J73" i="5"/>
  <c r="L73" i="5"/>
  <c r="K74" i="5"/>
  <c r="I74" i="5"/>
  <c r="J74" i="5"/>
  <c r="L74" i="5"/>
  <c r="K75" i="5"/>
  <c r="I75" i="5"/>
  <c r="J75" i="5"/>
  <c r="L75" i="5"/>
  <c r="K76" i="5"/>
  <c r="I76" i="5"/>
  <c r="J76" i="5"/>
  <c r="L76" i="5"/>
  <c r="K77" i="5"/>
  <c r="I77" i="5"/>
  <c r="J77" i="5"/>
  <c r="L77" i="5"/>
  <c r="K78" i="5"/>
  <c r="I78" i="5"/>
  <c r="J78" i="5"/>
  <c r="L78" i="5"/>
  <c r="K79" i="5"/>
  <c r="I79" i="5"/>
  <c r="J79" i="5"/>
  <c r="L79" i="5"/>
  <c r="K80" i="5"/>
  <c r="I80" i="5"/>
  <c r="J80" i="5"/>
  <c r="L80" i="5"/>
  <c r="K81" i="5"/>
  <c r="I81" i="5"/>
  <c r="J81" i="5"/>
  <c r="L81" i="5"/>
  <c r="K84" i="5"/>
  <c r="I84" i="5"/>
  <c r="J84" i="5"/>
  <c r="L84" i="5"/>
  <c r="C10" i="7"/>
  <c r="D10" i="7"/>
  <c r="E10" i="7"/>
  <c r="K85" i="5"/>
  <c r="I85" i="5"/>
  <c r="J85" i="5"/>
  <c r="L85" i="5"/>
  <c r="K86" i="5"/>
  <c r="I86" i="5"/>
  <c r="J86" i="5"/>
  <c r="L86" i="5"/>
  <c r="K87" i="5"/>
  <c r="I87" i="5"/>
  <c r="J87" i="5"/>
  <c r="L87" i="5"/>
  <c r="K88" i="5"/>
  <c r="I88" i="5"/>
  <c r="J88" i="5"/>
  <c r="L88" i="5"/>
  <c r="K89" i="5"/>
  <c r="I89" i="5"/>
  <c r="J89" i="5"/>
  <c r="L89" i="5"/>
  <c r="C37" i="7"/>
  <c r="D37" i="7"/>
  <c r="E37" i="7"/>
  <c r="K90" i="5"/>
  <c r="I90" i="5"/>
  <c r="J90" i="5"/>
  <c r="L90" i="5"/>
  <c r="C38" i="7"/>
  <c r="D38" i="7"/>
  <c r="E38" i="7"/>
  <c r="K91" i="5"/>
  <c r="I91" i="5"/>
  <c r="J91" i="5"/>
  <c r="L91" i="5"/>
  <c r="K92" i="5"/>
  <c r="I92" i="5"/>
  <c r="J92" i="5"/>
  <c r="L92" i="5"/>
  <c r="K93" i="5"/>
  <c r="I93" i="5"/>
  <c r="J93" i="5"/>
  <c r="L93" i="5"/>
  <c r="K94" i="5"/>
  <c r="I94" i="5"/>
  <c r="J94" i="5"/>
  <c r="L94" i="5"/>
  <c r="C5" i="7"/>
  <c r="D5" i="7"/>
  <c r="E5" i="7"/>
  <c r="K95" i="5"/>
  <c r="I95" i="5"/>
  <c r="J95" i="5"/>
  <c r="L95" i="5"/>
  <c r="K96" i="5"/>
  <c r="I96" i="5"/>
  <c r="J96" i="5"/>
  <c r="L96" i="5"/>
  <c r="K97" i="5"/>
  <c r="I97" i="5"/>
  <c r="J97" i="5"/>
  <c r="L97" i="5"/>
  <c r="C41" i="7"/>
  <c r="D41" i="7"/>
  <c r="E41" i="7"/>
  <c r="K100" i="5"/>
  <c r="I100" i="5"/>
  <c r="J100" i="5"/>
  <c r="L100" i="5"/>
  <c r="K101" i="5"/>
  <c r="I101" i="5"/>
  <c r="J101" i="5"/>
  <c r="L101" i="5"/>
  <c r="K102" i="5"/>
  <c r="I102" i="5"/>
  <c r="J102" i="5"/>
  <c r="L102" i="5"/>
  <c r="K103" i="5"/>
  <c r="I103" i="5"/>
  <c r="J103" i="5"/>
  <c r="L103" i="5"/>
  <c r="K104" i="5"/>
  <c r="I104" i="5"/>
  <c r="J104" i="5"/>
  <c r="L104" i="5"/>
  <c r="K105" i="5"/>
  <c r="I105" i="5"/>
  <c r="J105" i="5"/>
  <c r="L105" i="5"/>
  <c r="K106" i="5"/>
  <c r="I106" i="5"/>
  <c r="J106" i="5"/>
  <c r="L106" i="5"/>
  <c r="K107" i="5"/>
  <c r="I107" i="5"/>
  <c r="J107" i="5"/>
  <c r="L107" i="5"/>
  <c r="K108" i="5"/>
  <c r="I108" i="5"/>
  <c r="J108" i="5"/>
  <c r="L108" i="5"/>
  <c r="K109" i="5"/>
  <c r="I109" i="5"/>
  <c r="J109" i="5"/>
  <c r="L109" i="5"/>
  <c r="K110" i="5"/>
  <c r="I110" i="5"/>
  <c r="J110" i="5"/>
  <c r="L110" i="5"/>
  <c r="K112" i="5"/>
  <c r="I112" i="5"/>
  <c r="J112" i="5"/>
  <c r="L112" i="5"/>
  <c r="K113" i="5"/>
  <c r="I113" i="5"/>
  <c r="J113" i="5"/>
  <c r="L113" i="5"/>
  <c r="K114" i="5"/>
  <c r="I114" i="5"/>
  <c r="J114" i="5"/>
  <c r="L114" i="5"/>
  <c r="K115" i="5"/>
  <c r="I115" i="5"/>
  <c r="J115" i="5"/>
  <c r="L115" i="5"/>
  <c r="K116" i="5"/>
  <c r="I116" i="5"/>
  <c r="J116" i="5"/>
  <c r="L116" i="5"/>
  <c r="K117" i="5"/>
  <c r="I117" i="5"/>
  <c r="J117" i="5"/>
  <c r="L117" i="5"/>
  <c r="K118" i="5"/>
  <c r="I118" i="5"/>
  <c r="J118" i="5"/>
  <c r="L118" i="5"/>
  <c r="K119" i="5"/>
  <c r="I119" i="5"/>
  <c r="J119" i="5"/>
  <c r="L119" i="5"/>
  <c r="K120" i="5"/>
  <c r="I120" i="5"/>
  <c r="J120" i="5"/>
  <c r="L120" i="5"/>
  <c r="C7" i="7"/>
  <c r="D7" i="7"/>
  <c r="E7" i="7"/>
  <c r="K121" i="5"/>
  <c r="I121" i="5"/>
  <c r="J121" i="5"/>
  <c r="L121" i="5"/>
  <c r="K122" i="5"/>
  <c r="I122" i="5"/>
  <c r="J122" i="5"/>
  <c r="L122" i="5"/>
  <c r="C9" i="7"/>
  <c r="D9" i="7"/>
  <c r="E9" i="7"/>
  <c r="K123" i="5"/>
  <c r="I123" i="5"/>
  <c r="J123" i="5"/>
  <c r="L123" i="5"/>
  <c r="K124" i="5"/>
  <c r="I124" i="5"/>
  <c r="J124" i="5"/>
  <c r="L124" i="5"/>
  <c r="C4" i="7"/>
  <c r="D4" i="7"/>
  <c r="E4" i="7"/>
  <c r="K125" i="5"/>
  <c r="I125" i="5"/>
  <c r="J125" i="5"/>
  <c r="L125" i="5"/>
  <c r="K126" i="5"/>
  <c r="I126" i="5"/>
  <c r="J126" i="5"/>
  <c r="L126" i="5"/>
  <c r="C3" i="7"/>
  <c r="D3" i="7"/>
  <c r="E3" i="7"/>
  <c r="K127" i="5"/>
  <c r="I127" i="5"/>
  <c r="J127" i="5"/>
  <c r="L127" i="5"/>
  <c r="K128" i="5"/>
  <c r="I128" i="5"/>
  <c r="J128" i="5"/>
  <c r="L128" i="5"/>
  <c r="K129" i="5"/>
  <c r="I129" i="5"/>
  <c r="J129" i="5"/>
  <c r="L129" i="5"/>
  <c r="K130" i="5"/>
  <c r="I130" i="5"/>
  <c r="J130" i="5"/>
  <c r="L130" i="5"/>
  <c r="K131" i="5"/>
  <c r="I131" i="5"/>
  <c r="J131" i="5"/>
  <c r="L131" i="5"/>
  <c r="C15" i="7"/>
  <c r="D15" i="7"/>
  <c r="E15" i="7"/>
  <c r="K132" i="5"/>
  <c r="I132" i="5"/>
  <c r="J132" i="5"/>
  <c r="L132" i="5"/>
  <c r="K133" i="5"/>
  <c r="I133" i="5"/>
  <c r="J133" i="5"/>
  <c r="L133" i="5"/>
  <c r="K134" i="5"/>
  <c r="I134" i="5"/>
  <c r="J134" i="5"/>
  <c r="L134" i="5"/>
  <c r="K135" i="5"/>
  <c r="I135" i="5"/>
  <c r="J135" i="5"/>
  <c r="L135" i="5"/>
  <c r="K136" i="5"/>
  <c r="I136" i="5"/>
  <c r="J136" i="5"/>
  <c r="L136" i="5"/>
  <c r="K137" i="5"/>
  <c r="I137" i="5"/>
  <c r="J137" i="5"/>
  <c r="L137" i="5"/>
  <c r="K138" i="5"/>
  <c r="I138" i="5"/>
  <c r="J138" i="5"/>
  <c r="L138" i="5"/>
  <c r="K139" i="5"/>
  <c r="I139" i="5"/>
  <c r="J139" i="5"/>
  <c r="L139" i="5"/>
  <c r="K140" i="5"/>
  <c r="I140" i="5"/>
  <c r="J140" i="5"/>
  <c r="L140" i="5"/>
  <c r="K141" i="5"/>
  <c r="I141" i="5"/>
  <c r="J141" i="5"/>
  <c r="L141" i="5"/>
  <c r="K142" i="5"/>
  <c r="I142" i="5"/>
  <c r="J142" i="5"/>
  <c r="L142" i="5"/>
  <c r="K143" i="5"/>
  <c r="I143" i="5"/>
  <c r="J143" i="5"/>
  <c r="L143" i="5"/>
  <c r="K144" i="5"/>
  <c r="I144" i="5"/>
  <c r="J144" i="5"/>
  <c r="L144" i="5"/>
  <c r="K145" i="5"/>
  <c r="I145" i="5"/>
  <c r="J145" i="5"/>
  <c r="L145" i="5"/>
  <c r="K146" i="5"/>
  <c r="I146" i="5"/>
  <c r="J146" i="5"/>
  <c r="L146" i="5"/>
  <c r="K147" i="5"/>
  <c r="I147" i="5"/>
  <c r="J147" i="5"/>
  <c r="L147" i="5"/>
  <c r="K148" i="5"/>
  <c r="I148" i="5"/>
  <c r="J148" i="5"/>
  <c r="L148" i="5"/>
  <c r="K149" i="5"/>
  <c r="I149" i="5"/>
  <c r="J149" i="5"/>
  <c r="L149" i="5"/>
  <c r="K150" i="5"/>
  <c r="I150" i="5"/>
  <c r="J150" i="5"/>
  <c r="L150" i="5"/>
  <c r="K151" i="5"/>
  <c r="I151" i="5"/>
  <c r="J151" i="5"/>
  <c r="L151" i="5"/>
  <c r="K152" i="5"/>
  <c r="I152" i="5"/>
  <c r="J152" i="5"/>
  <c r="L152" i="5"/>
  <c r="K153" i="5"/>
  <c r="I153" i="5"/>
  <c r="J153" i="5"/>
  <c r="L153" i="5"/>
  <c r="K154" i="5"/>
  <c r="I154" i="5"/>
  <c r="J154" i="5"/>
  <c r="L154" i="5"/>
  <c r="K155" i="5"/>
  <c r="I155" i="5"/>
  <c r="J155" i="5"/>
  <c r="L155" i="5"/>
  <c r="K156" i="5"/>
  <c r="I156" i="5"/>
  <c r="J156" i="5"/>
  <c r="L156" i="5"/>
  <c r="K157" i="5"/>
  <c r="I157" i="5"/>
  <c r="J157" i="5"/>
  <c r="L157" i="5"/>
  <c r="K158" i="5"/>
  <c r="I158" i="5"/>
  <c r="J158" i="5"/>
  <c r="L158" i="5"/>
  <c r="K160" i="5"/>
  <c r="I160" i="5"/>
  <c r="J160" i="5"/>
  <c r="L160" i="5"/>
  <c r="K161" i="5"/>
  <c r="I161" i="5"/>
  <c r="J161" i="5"/>
  <c r="L161" i="5"/>
  <c r="K162" i="5"/>
  <c r="I162" i="5"/>
  <c r="J162" i="5"/>
  <c r="L162" i="5"/>
  <c r="K163" i="5"/>
  <c r="I163" i="5"/>
  <c r="J163" i="5"/>
  <c r="L163" i="5"/>
  <c r="K164" i="5"/>
  <c r="I164" i="5"/>
  <c r="J164" i="5"/>
  <c r="L164" i="5"/>
  <c r="C14" i="7"/>
  <c r="D14" i="7"/>
  <c r="E14" i="7"/>
  <c r="K166" i="5"/>
  <c r="I166" i="5"/>
  <c r="J166" i="5"/>
  <c r="L166" i="5"/>
  <c r="K167" i="5"/>
  <c r="I167" i="5"/>
  <c r="J167" i="5"/>
  <c r="L167" i="5"/>
  <c r="K168" i="5"/>
  <c r="I168" i="5"/>
  <c r="J168" i="5"/>
  <c r="L168" i="5"/>
  <c r="K169" i="5"/>
  <c r="I169" i="5"/>
  <c r="J169" i="5"/>
  <c r="L169" i="5"/>
  <c r="K170" i="5"/>
  <c r="I170" i="5"/>
  <c r="J170" i="5"/>
  <c r="L170" i="5"/>
  <c r="K171" i="5"/>
  <c r="I171" i="5"/>
  <c r="J171" i="5"/>
  <c r="L171" i="5"/>
  <c r="K172" i="5"/>
  <c r="I172" i="5"/>
  <c r="J172" i="5"/>
  <c r="L172" i="5"/>
  <c r="K173" i="5"/>
  <c r="I173" i="5"/>
  <c r="J173" i="5"/>
  <c r="L173" i="5"/>
  <c r="K174" i="5"/>
  <c r="I174" i="5"/>
  <c r="J174" i="5"/>
  <c r="L174" i="5"/>
  <c r="C11" i="7"/>
  <c r="D11" i="7"/>
  <c r="E11" i="7"/>
  <c r="K175" i="5"/>
  <c r="I175" i="5"/>
  <c r="J175" i="5"/>
  <c r="L175" i="5"/>
  <c r="K176" i="5"/>
  <c r="I176" i="5"/>
  <c r="J176" i="5"/>
  <c r="L176" i="5"/>
  <c r="C32" i="7"/>
  <c r="D32" i="7"/>
  <c r="E32" i="7"/>
  <c r="K177" i="5"/>
  <c r="I177" i="5"/>
  <c r="J177" i="5"/>
  <c r="L177" i="5"/>
  <c r="C31" i="7"/>
  <c r="D31" i="7"/>
  <c r="E31" i="7"/>
  <c r="K178" i="5"/>
  <c r="I178" i="5"/>
  <c r="J178" i="5"/>
  <c r="L178" i="5"/>
  <c r="K179" i="5"/>
  <c r="I179" i="5"/>
  <c r="J179" i="5"/>
  <c r="L179" i="5"/>
  <c r="K180" i="5"/>
  <c r="I180" i="5"/>
  <c r="J180" i="5"/>
  <c r="L180" i="5"/>
  <c r="K181" i="5"/>
  <c r="I181" i="5"/>
  <c r="J181" i="5"/>
  <c r="L181" i="5"/>
  <c r="K182" i="5"/>
  <c r="I182" i="5"/>
  <c r="J182" i="5"/>
  <c r="L182" i="5"/>
  <c r="C36" i="7"/>
  <c r="D36" i="7"/>
  <c r="E36" i="7"/>
  <c r="K183" i="5"/>
  <c r="I183" i="5"/>
  <c r="J183" i="5"/>
  <c r="L183" i="5"/>
  <c r="K184" i="5"/>
  <c r="I184" i="5"/>
  <c r="J184" i="5"/>
  <c r="L184" i="5"/>
  <c r="K185" i="5"/>
  <c r="I185" i="5"/>
  <c r="J185" i="5"/>
  <c r="L185" i="5"/>
  <c r="C24" i="7"/>
  <c r="D24" i="7"/>
  <c r="E24" i="7"/>
  <c r="K186" i="5"/>
  <c r="I186" i="5"/>
  <c r="J186" i="5"/>
  <c r="L186" i="5"/>
  <c r="K187" i="5"/>
  <c r="I187" i="5"/>
  <c r="J187" i="5"/>
  <c r="L187" i="5"/>
  <c r="K188" i="5"/>
  <c r="I188" i="5"/>
  <c r="J188" i="5"/>
  <c r="L188" i="5"/>
  <c r="K189" i="5"/>
  <c r="I189" i="5"/>
  <c r="J189" i="5"/>
  <c r="L189" i="5"/>
  <c r="K190" i="5"/>
  <c r="I190" i="5"/>
  <c r="J190" i="5"/>
  <c r="L190" i="5"/>
  <c r="K191" i="5"/>
  <c r="I191" i="5"/>
  <c r="J191" i="5"/>
  <c r="L191" i="5"/>
  <c r="K192" i="5"/>
  <c r="I192" i="5"/>
  <c r="J192" i="5"/>
  <c r="L192" i="5"/>
  <c r="K193" i="5"/>
  <c r="I193" i="5"/>
  <c r="J193" i="5"/>
  <c r="L193" i="5"/>
  <c r="K194" i="5"/>
  <c r="I194" i="5"/>
  <c r="J194" i="5"/>
  <c r="L194" i="5"/>
  <c r="C21" i="7"/>
  <c r="D21" i="7"/>
  <c r="E21" i="7"/>
  <c r="K195" i="5"/>
  <c r="I195" i="5"/>
  <c r="J195" i="5"/>
  <c r="L195" i="5"/>
  <c r="K196" i="5"/>
  <c r="I196" i="5"/>
  <c r="J196" i="5"/>
  <c r="L196" i="5"/>
  <c r="K197" i="5"/>
  <c r="I197" i="5"/>
  <c r="J197" i="5"/>
  <c r="L197" i="5"/>
  <c r="K198" i="5"/>
  <c r="I198" i="5"/>
  <c r="J198" i="5"/>
  <c r="L198" i="5"/>
  <c r="K199" i="5"/>
  <c r="I199" i="5"/>
  <c r="J199" i="5"/>
  <c r="L199" i="5"/>
  <c r="K200" i="5"/>
  <c r="I200" i="5"/>
  <c r="J200" i="5"/>
  <c r="L200" i="5"/>
  <c r="K201" i="5"/>
  <c r="I201" i="5"/>
  <c r="J201" i="5"/>
  <c r="L201" i="5"/>
  <c r="K202" i="5"/>
  <c r="I202" i="5"/>
  <c r="J202" i="5"/>
  <c r="L202" i="5"/>
  <c r="K203" i="5"/>
  <c r="I203" i="5"/>
  <c r="J203" i="5"/>
  <c r="L203" i="5"/>
  <c r="K204" i="5"/>
  <c r="I204" i="5"/>
  <c r="J204" i="5"/>
  <c r="L204" i="5"/>
  <c r="K205" i="5"/>
  <c r="I205" i="5"/>
  <c r="J205" i="5"/>
  <c r="L205" i="5"/>
  <c r="K206" i="5"/>
  <c r="I206" i="5"/>
  <c r="J206" i="5"/>
  <c r="L206" i="5"/>
  <c r="K207" i="5"/>
  <c r="I207" i="5"/>
  <c r="J207" i="5"/>
  <c r="L207" i="5"/>
  <c r="K208" i="5"/>
  <c r="I208" i="5"/>
  <c r="J208" i="5"/>
  <c r="L208" i="5"/>
  <c r="K209" i="5"/>
  <c r="I209" i="5"/>
  <c r="J209" i="5"/>
  <c r="L209" i="5"/>
  <c r="K210" i="5"/>
  <c r="I210" i="5"/>
  <c r="J210" i="5"/>
  <c r="L210" i="5"/>
  <c r="K211" i="5"/>
  <c r="I211" i="5"/>
  <c r="J211" i="5"/>
  <c r="L211" i="5"/>
  <c r="C30" i="7"/>
  <c r="D30" i="7"/>
  <c r="E30" i="7"/>
  <c r="K215" i="5"/>
  <c r="I215" i="5"/>
  <c r="J215" i="5"/>
  <c r="L215" i="5"/>
  <c r="K216" i="5"/>
  <c r="I216" i="5"/>
  <c r="J216" i="5"/>
  <c r="L216" i="5"/>
  <c r="K217" i="5"/>
  <c r="I217" i="5"/>
  <c r="J217" i="5"/>
  <c r="L217" i="5"/>
  <c r="K218" i="5"/>
  <c r="I218" i="5"/>
  <c r="J218" i="5"/>
  <c r="L218" i="5"/>
  <c r="K219" i="5"/>
  <c r="I219" i="5"/>
  <c r="J219" i="5"/>
  <c r="L219" i="5"/>
  <c r="K220" i="5"/>
  <c r="I220" i="5"/>
  <c r="J220" i="5"/>
  <c r="L220" i="5"/>
  <c r="C18" i="7"/>
  <c r="D18" i="7"/>
  <c r="E18" i="7"/>
  <c r="K221" i="5"/>
  <c r="I221" i="5"/>
  <c r="J221" i="5"/>
  <c r="L221" i="5"/>
  <c r="K222" i="5"/>
  <c r="I222" i="5"/>
  <c r="J222" i="5"/>
  <c r="L222" i="5"/>
  <c r="K223" i="5"/>
  <c r="I223" i="5"/>
  <c r="J223" i="5"/>
  <c r="L223" i="5"/>
  <c r="K224" i="5"/>
  <c r="I224" i="5"/>
  <c r="J224" i="5"/>
  <c r="L224" i="5"/>
  <c r="C46" i="7"/>
  <c r="D46" i="7"/>
  <c r="E46" i="7"/>
  <c r="K225" i="5"/>
  <c r="I225" i="5"/>
  <c r="J225" i="5"/>
  <c r="L225" i="5"/>
  <c r="K226" i="5"/>
  <c r="I226" i="5"/>
  <c r="J226" i="5"/>
  <c r="L226" i="5"/>
  <c r="K227" i="5"/>
  <c r="I227" i="5"/>
  <c r="J227" i="5"/>
  <c r="L227" i="5"/>
  <c r="C50" i="7"/>
  <c r="D50" i="7"/>
  <c r="E50" i="7"/>
  <c r="K228" i="5"/>
  <c r="I228" i="5"/>
  <c r="J228" i="5"/>
  <c r="L228" i="5"/>
  <c r="K229" i="5"/>
  <c r="I229" i="5"/>
  <c r="J229" i="5"/>
  <c r="L229" i="5"/>
  <c r="K230" i="5"/>
  <c r="I230" i="5"/>
  <c r="J230" i="5"/>
  <c r="L230" i="5"/>
  <c r="K231" i="5"/>
  <c r="I231" i="5"/>
  <c r="J231" i="5"/>
  <c r="L231" i="5"/>
  <c r="C22" i="7"/>
  <c r="D22" i="7"/>
  <c r="E22" i="7"/>
  <c r="K232" i="5"/>
  <c r="I232" i="5"/>
  <c r="J232" i="5"/>
  <c r="L232" i="5"/>
  <c r="K233" i="5"/>
  <c r="I233" i="5"/>
  <c r="J233" i="5"/>
  <c r="L233" i="5"/>
  <c r="K234" i="5"/>
  <c r="I234" i="5"/>
  <c r="J234" i="5"/>
  <c r="L234" i="5"/>
  <c r="K235" i="5"/>
  <c r="I235" i="5"/>
  <c r="J235" i="5"/>
  <c r="L235" i="5"/>
  <c r="K236" i="5"/>
  <c r="I236" i="5"/>
  <c r="J236" i="5"/>
  <c r="L236" i="5"/>
  <c r="C23" i="7"/>
  <c r="D23" i="7"/>
  <c r="E23" i="7"/>
  <c r="K237" i="5"/>
  <c r="I237" i="5"/>
  <c r="J237" i="5"/>
  <c r="L237" i="5"/>
  <c r="K238" i="5"/>
  <c r="I238" i="5"/>
  <c r="J238" i="5"/>
  <c r="L238" i="5"/>
  <c r="K239" i="5"/>
  <c r="I239" i="5"/>
  <c r="J239" i="5"/>
  <c r="L239" i="5"/>
  <c r="K240" i="5"/>
  <c r="I240" i="5"/>
  <c r="J240" i="5"/>
  <c r="L240" i="5"/>
  <c r="K241" i="5"/>
  <c r="I241" i="5"/>
  <c r="J241" i="5"/>
  <c r="L241" i="5"/>
  <c r="C49" i="7"/>
  <c r="D49" i="7"/>
  <c r="E49" i="7"/>
  <c r="K242" i="5"/>
  <c r="I242" i="5"/>
  <c r="J242" i="5"/>
  <c r="L242" i="5"/>
  <c r="K243" i="5"/>
  <c r="I243" i="5"/>
  <c r="J243" i="5"/>
  <c r="L243" i="5"/>
  <c r="K244" i="5"/>
  <c r="I244" i="5"/>
  <c r="J244" i="5"/>
  <c r="L244" i="5"/>
  <c r="K245" i="5"/>
  <c r="I245" i="5"/>
  <c r="J245" i="5"/>
  <c r="L245" i="5"/>
  <c r="K246" i="5"/>
  <c r="I246" i="5"/>
  <c r="J246" i="5"/>
  <c r="L246" i="5"/>
  <c r="K247" i="5"/>
  <c r="I247" i="5"/>
  <c r="J247" i="5"/>
  <c r="L247" i="5"/>
  <c r="K248" i="5"/>
  <c r="I248" i="5"/>
  <c r="J248" i="5"/>
  <c r="L248" i="5"/>
  <c r="K249" i="5"/>
  <c r="I249" i="5"/>
  <c r="J249" i="5"/>
  <c r="L249" i="5"/>
  <c r="K250" i="5"/>
  <c r="I250" i="5"/>
  <c r="J250" i="5"/>
  <c r="L250" i="5"/>
  <c r="K251" i="5"/>
  <c r="I251" i="5"/>
  <c r="J251" i="5"/>
  <c r="L251" i="5"/>
  <c r="K252" i="5"/>
  <c r="I252" i="5"/>
  <c r="J252" i="5"/>
  <c r="L252" i="5"/>
  <c r="K253" i="5"/>
  <c r="I253" i="5"/>
  <c r="J253" i="5"/>
  <c r="L253" i="5"/>
  <c r="K254" i="5"/>
  <c r="I254" i="5"/>
  <c r="J254" i="5"/>
  <c r="L254" i="5"/>
  <c r="K255" i="5"/>
  <c r="I255" i="5"/>
  <c r="J255" i="5"/>
  <c r="L255" i="5"/>
  <c r="K256" i="5"/>
  <c r="I256" i="5"/>
  <c r="J256" i="5"/>
  <c r="L256" i="5"/>
  <c r="C2" i="7"/>
  <c r="D2" i="7"/>
  <c r="E2" i="7"/>
  <c r="K258" i="5"/>
  <c r="I258" i="5"/>
  <c r="J258" i="5"/>
  <c r="L258" i="5"/>
  <c r="K259" i="5"/>
  <c r="I259" i="5"/>
  <c r="J259" i="5"/>
  <c r="L259" i="5"/>
  <c r="K260" i="5"/>
  <c r="I260" i="5"/>
  <c r="J260" i="5"/>
  <c r="L260" i="5"/>
  <c r="K261" i="5"/>
  <c r="I261" i="5"/>
  <c r="J261" i="5"/>
  <c r="L261" i="5"/>
  <c r="K262" i="5"/>
  <c r="I262" i="5"/>
  <c r="J262" i="5"/>
  <c r="L262" i="5"/>
  <c r="K263" i="5"/>
  <c r="I263" i="5"/>
  <c r="J263" i="5"/>
  <c r="L263" i="5"/>
  <c r="K264" i="5"/>
  <c r="I264" i="5"/>
  <c r="J264" i="5"/>
  <c r="L264" i="5"/>
  <c r="K265" i="5"/>
  <c r="I265" i="5"/>
  <c r="J265" i="5"/>
  <c r="L265" i="5"/>
  <c r="K266" i="5"/>
  <c r="I266" i="5"/>
  <c r="J266" i="5"/>
  <c r="L266" i="5"/>
  <c r="K267" i="5"/>
  <c r="I267" i="5"/>
  <c r="J267" i="5"/>
  <c r="L267" i="5"/>
  <c r="K268" i="5"/>
  <c r="I268" i="5"/>
  <c r="J268" i="5"/>
  <c r="L268" i="5"/>
  <c r="K269" i="5"/>
  <c r="I269" i="5"/>
  <c r="J269" i="5"/>
  <c r="L269" i="5"/>
  <c r="K270" i="5"/>
  <c r="I270" i="5"/>
  <c r="J270" i="5"/>
  <c r="L270" i="5"/>
  <c r="K271" i="5"/>
  <c r="I271" i="5"/>
  <c r="J271" i="5"/>
  <c r="L271" i="5"/>
  <c r="K272" i="5"/>
  <c r="I272" i="5"/>
  <c r="J272" i="5"/>
  <c r="L272" i="5"/>
  <c r="K273" i="5"/>
  <c r="I273" i="5"/>
  <c r="J273" i="5"/>
  <c r="L273" i="5"/>
  <c r="K274" i="5"/>
  <c r="I274" i="5"/>
  <c r="J274" i="5"/>
  <c r="L274" i="5"/>
  <c r="K275" i="5"/>
  <c r="I275" i="5"/>
  <c r="J275" i="5"/>
  <c r="L275" i="5"/>
  <c r="C6" i="7"/>
  <c r="D6" i="7"/>
  <c r="E6" i="7"/>
  <c r="K276" i="5"/>
  <c r="I276" i="5"/>
  <c r="J276" i="5"/>
  <c r="L276" i="5"/>
  <c r="K277" i="5"/>
  <c r="I277" i="5"/>
  <c r="J277" i="5"/>
  <c r="L277" i="5"/>
  <c r="K278" i="5"/>
  <c r="I278" i="5"/>
  <c r="J278" i="5"/>
  <c r="L278" i="5"/>
  <c r="K279" i="5"/>
  <c r="I279" i="5"/>
  <c r="J279" i="5"/>
  <c r="L279" i="5"/>
  <c r="C12" i="7"/>
  <c r="D12" i="7"/>
  <c r="E12" i="7"/>
  <c r="K280" i="5"/>
  <c r="I280" i="5"/>
  <c r="J280" i="5"/>
  <c r="L280" i="5"/>
  <c r="K281" i="5"/>
  <c r="I281" i="5"/>
  <c r="J281" i="5"/>
  <c r="L281" i="5"/>
  <c r="K282" i="5"/>
  <c r="I282" i="5"/>
  <c r="J282" i="5"/>
  <c r="L282" i="5"/>
  <c r="K283" i="5"/>
  <c r="I283" i="5"/>
  <c r="J283" i="5"/>
  <c r="L283" i="5"/>
  <c r="K284" i="5"/>
  <c r="I284" i="5"/>
  <c r="J284" i="5"/>
  <c r="L284" i="5"/>
  <c r="K285" i="5"/>
  <c r="I285" i="5"/>
  <c r="J285" i="5"/>
  <c r="L285" i="5"/>
  <c r="C47" i="7"/>
  <c r="D47" i="7"/>
  <c r="E47" i="7"/>
  <c r="K286" i="5"/>
  <c r="I286" i="5"/>
  <c r="J286" i="5"/>
  <c r="L286" i="5"/>
  <c r="K287" i="5"/>
  <c r="I287" i="5"/>
  <c r="J287" i="5"/>
  <c r="L287" i="5"/>
  <c r="C35" i="7"/>
  <c r="D35" i="7"/>
  <c r="E35" i="7"/>
  <c r="K288" i="5"/>
  <c r="I288" i="5"/>
  <c r="J288" i="5"/>
  <c r="L288" i="5"/>
  <c r="K289" i="5"/>
  <c r="I289" i="5"/>
  <c r="J289" i="5"/>
  <c r="L289" i="5"/>
  <c r="C33" i="7"/>
  <c r="D33" i="7"/>
  <c r="E33" i="7"/>
  <c r="K290" i="5"/>
  <c r="I290" i="5"/>
  <c r="J290" i="5"/>
  <c r="L290" i="5"/>
  <c r="K291" i="5"/>
  <c r="I291" i="5"/>
  <c r="J291" i="5"/>
  <c r="L291" i="5"/>
  <c r="C17" i="7"/>
  <c r="D17" i="7"/>
  <c r="E17" i="7"/>
  <c r="K292" i="5"/>
  <c r="I292" i="5"/>
  <c r="J292" i="5"/>
  <c r="L292" i="5"/>
  <c r="K293" i="5"/>
  <c r="I293" i="5"/>
  <c r="J293" i="5"/>
  <c r="L293" i="5"/>
  <c r="K294" i="5"/>
  <c r="I294" i="5"/>
  <c r="J294" i="5"/>
  <c r="L294" i="5"/>
  <c r="K295" i="5"/>
  <c r="I295" i="5"/>
  <c r="J295" i="5"/>
  <c r="L295" i="5"/>
  <c r="K296" i="5"/>
  <c r="I296" i="5"/>
  <c r="J296" i="5"/>
  <c r="L296" i="5"/>
  <c r="K297" i="5"/>
  <c r="I297" i="5"/>
  <c r="J297" i="5"/>
  <c r="L297" i="5"/>
  <c r="K298" i="5"/>
  <c r="I298" i="5"/>
  <c r="J298" i="5"/>
  <c r="L298" i="5"/>
  <c r="K299" i="5"/>
  <c r="I299" i="5"/>
  <c r="J299" i="5"/>
  <c r="L299" i="5"/>
  <c r="K300" i="5"/>
  <c r="I300" i="5"/>
  <c r="J300" i="5"/>
  <c r="L300" i="5"/>
  <c r="C44" i="7"/>
  <c r="D44" i="7"/>
  <c r="E44" i="7"/>
  <c r="K301" i="5"/>
  <c r="I301" i="5"/>
  <c r="J301" i="5"/>
  <c r="L301" i="5"/>
  <c r="K302" i="5"/>
  <c r="I302" i="5"/>
  <c r="J302" i="5"/>
  <c r="L302" i="5"/>
  <c r="C43" i="7"/>
  <c r="D43" i="7"/>
  <c r="E43" i="7"/>
  <c r="K303" i="5"/>
  <c r="I303" i="5"/>
  <c r="J303" i="5"/>
  <c r="L303" i="5"/>
  <c r="C42" i="7"/>
  <c r="D42" i="7"/>
  <c r="E42" i="7"/>
  <c r="K305" i="5"/>
  <c r="I305" i="5"/>
  <c r="J305" i="5"/>
  <c r="L305" i="5"/>
  <c r="K306" i="5"/>
  <c r="I306" i="5"/>
  <c r="J306" i="5"/>
  <c r="L306" i="5"/>
  <c r="C52" i="7"/>
  <c r="D52" i="7"/>
  <c r="E52" i="7"/>
  <c r="K307" i="5"/>
  <c r="I307" i="5"/>
  <c r="J307" i="5"/>
  <c r="L307" i="5"/>
  <c r="K308" i="5"/>
  <c r="I308" i="5"/>
  <c r="J308" i="5"/>
  <c r="L308" i="5"/>
  <c r="K309" i="5"/>
  <c r="I309" i="5"/>
  <c r="J309" i="5"/>
  <c r="L309" i="5"/>
  <c r="K310" i="5"/>
  <c r="I310" i="5"/>
  <c r="J310" i="5"/>
  <c r="L310" i="5"/>
  <c r="K311" i="5"/>
  <c r="I311" i="5"/>
  <c r="J311" i="5"/>
  <c r="L311" i="5"/>
  <c r="K312" i="5"/>
  <c r="I312" i="5"/>
  <c r="J312" i="5"/>
  <c r="L312" i="5"/>
  <c r="K313" i="5"/>
  <c r="I313" i="5"/>
  <c r="J313" i="5"/>
  <c r="L313" i="5"/>
  <c r="K314" i="5"/>
  <c r="I314" i="5"/>
  <c r="J314" i="5"/>
  <c r="L314" i="5"/>
  <c r="K315" i="5"/>
  <c r="I315" i="5"/>
  <c r="J315" i="5"/>
  <c r="L315" i="5"/>
  <c r="K316" i="5"/>
  <c r="I316" i="5"/>
  <c r="J316" i="5"/>
  <c r="L316" i="5"/>
  <c r="K317" i="5"/>
  <c r="I317" i="5"/>
  <c r="J317" i="5"/>
  <c r="L317" i="5"/>
  <c r="K318" i="5"/>
  <c r="I318" i="5"/>
  <c r="J318" i="5"/>
  <c r="L318" i="5"/>
  <c r="K319" i="5"/>
  <c r="I319" i="5"/>
  <c r="J319" i="5"/>
  <c r="L319" i="5"/>
  <c r="K320" i="5"/>
  <c r="I320" i="5"/>
  <c r="J320" i="5"/>
  <c r="L320" i="5"/>
  <c r="K321" i="5"/>
  <c r="I321" i="5"/>
  <c r="J321" i="5"/>
  <c r="L321" i="5"/>
  <c r="K322" i="5"/>
  <c r="I322" i="5"/>
  <c r="J322" i="5"/>
  <c r="L322" i="5"/>
  <c r="K323" i="5"/>
  <c r="I323" i="5"/>
  <c r="J323" i="5"/>
  <c r="L323" i="5"/>
  <c r="K324" i="5"/>
  <c r="I324" i="5"/>
  <c r="J324" i="5"/>
  <c r="L324" i="5"/>
  <c r="K325" i="5"/>
  <c r="I325" i="5"/>
  <c r="J325" i="5"/>
  <c r="L325" i="5"/>
  <c r="K326" i="5"/>
  <c r="I326" i="5"/>
  <c r="J326" i="5"/>
  <c r="L326" i="5"/>
  <c r="K327" i="5"/>
  <c r="I327" i="5"/>
  <c r="J327" i="5"/>
  <c r="L327" i="5"/>
  <c r="K328" i="5"/>
  <c r="I328" i="5"/>
  <c r="J328" i="5"/>
  <c r="L328" i="5"/>
  <c r="K329" i="5"/>
  <c r="I329" i="5"/>
  <c r="J329" i="5"/>
  <c r="L329" i="5"/>
  <c r="C51" i="7"/>
  <c r="D51" i="7"/>
  <c r="E51" i="7"/>
  <c r="K330" i="5"/>
  <c r="I330" i="5"/>
  <c r="J330" i="5"/>
  <c r="L330" i="5"/>
  <c r="K331" i="5"/>
  <c r="I331" i="5"/>
  <c r="J331" i="5"/>
  <c r="L331" i="5"/>
  <c r="C34" i="7"/>
  <c r="D34" i="7"/>
  <c r="E34" i="7"/>
  <c r="K332" i="5"/>
  <c r="I332" i="5"/>
  <c r="J332" i="5"/>
  <c r="L332" i="5"/>
  <c r="K333" i="5"/>
  <c r="I333" i="5"/>
  <c r="J333" i="5"/>
  <c r="L333" i="5"/>
  <c r="K334" i="5"/>
  <c r="I334" i="5"/>
  <c r="J334" i="5"/>
  <c r="L334" i="5"/>
  <c r="K335" i="5"/>
  <c r="I335" i="5"/>
  <c r="J335" i="5"/>
  <c r="L335" i="5"/>
  <c r="K336" i="5"/>
  <c r="I336" i="5"/>
  <c r="J336" i="5"/>
  <c r="L336" i="5"/>
  <c r="K337" i="5"/>
  <c r="I337" i="5"/>
  <c r="J337" i="5"/>
  <c r="L337" i="5"/>
  <c r="K338" i="5"/>
  <c r="I338" i="5"/>
  <c r="J338" i="5"/>
  <c r="L338" i="5"/>
  <c r="K339" i="5"/>
  <c r="I339" i="5"/>
  <c r="J339" i="5"/>
  <c r="L339" i="5"/>
  <c r="K340" i="5"/>
  <c r="I340" i="5"/>
  <c r="J340" i="5"/>
  <c r="L340" i="5"/>
  <c r="K341" i="5"/>
  <c r="I341" i="5"/>
  <c r="J341" i="5"/>
  <c r="L341" i="5"/>
  <c r="K342" i="5"/>
  <c r="I342" i="5"/>
  <c r="J342" i="5"/>
  <c r="L342" i="5"/>
  <c r="K343" i="5"/>
  <c r="I343" i="5"/>
  <c r="J343" i="5"/>
  <c r="L343" i="5"/>
  <c r="K344" i="5"/>
  <c r="I344" i="5"/>
  <c r="J344" i="5"/>
  <c r="L344" i="5"/>
  <c r="K345" i="5"/>
  <c r="I345" i="5"/>
  <c r="J345" i="5"/>
  <c r="L345" i="5"/>
  <c r="K346" i="5"/>
  <c r="I346" i="5"/>
  <c r="J346" i="5"/>
  <c r="L346" i="5"/>
  <c r="K347" i="5"/>
  <c r="I347" i="5"/>
  <c r="J347" i="5"/>
  <c r="L347" i="5"/>
  <c r="K348" i="5"/>
  <c r="I348" i="5"/>
  <c r="J348" i="5"/>
  <c r="L348" i="5"/>
  <c r="K349" i="5"/>
  <c r="I349" i="5"/>
  <c r="J349" i="5"/>
  <c r="L349" i="5"/>
  <c r="K350" i="5"/>
  <c r="I350" i="5"/>
  <c r="J350" i="5"/>
  <c r="L350" i="5"/>
  <c r="K351" i="5"/>
  <c r="I351" i="5"/>
  <c r="J351" i="5"/>
  <c r="L351" i="5"/>
  <c r="K352" i="5"/>
  <c r="I352" i="5"/>
  <c r="J352" i="5"/>
  <c r="L352" i="5"/>
  <c r="K353" i="5"/>
  <c r="I353" i="5"/>
  <c r="J353" i="5"/>
  <c r="L353" i="5"/>
  <c r="K354" i="5"/>
  <c r="I354" i="5"/>
  <c r="J354" i="5"/>
  <c r="L354" i="5"/>
  <c r="K355" i="5"/>
  <c r="I355" i="5"/>
  <c r="J355" i="5"/>
  <c r="L355" i="5"/>
  <c r="K356" i="5"/>
  <c r="I356" i="5"/>
  <c r="J356" i="5"/>
  <c r="L356" i="5"/>
  <c r="K357" i="5"/>
  <c r="I357" i="5"/>
  <c r="J357" i="5"/>
  <c r="L357" i="5"/>
  <c r="K358" i="5"/>
  <c r="I358" i="5"/>
  <c r="J358" i="5"/>
  <c r="L358" i="5"/>
  <c r="K359" i="5"/>
  <c r="I359" i="5"/>
  <c r="J359" i="5"/>
  <c r="L359" i="5"/>
  <c r="K360" i="5"/>
  <c r="I360" i="5"/>
  <c r="J360" i="5"/>
  <c r="L360" i="5"/>
  <c r="K361" i="5"/>
  <c r="I361" i="5"/>
  <c r="J361" i="5"/>
  <c r="L361" i="5"/>
  <c r="K363" i="5"/>
  <c r="I363" i="5"/>
  <c r="J363" i="5"/>
  <c r="L363" i="5"/>
  <c r="K367" i="5"/>
  <c r="I367" i="5"/>
  <c r="J367" i="5"/>
  <c r="L367" i="5"/>
  <c r="K368" i="5"/>
  <c r="I368" i="5"/>
  <c r="J368" i="5"/>
  <c r="L368" i="5"/>
  <c r="K370" i="5"/>
  <c r="I370" i="5"/>
  <c r="J370" i="5"/>
  <c r="L370" i="5"/>
  <c r="K371" i="5"/>
  <c r="J371" i="5"/>
  <c r="L371" i="5"/>
  <c r="K372" i="5"/>
  <c r="I372" i="5"/>
  <c r="J372" i="5"/>
  <c r="L372" i="5"/>
  <c r="K373" i="5"/>
  <c r="I373" i="5"/>
  <c r="J373" i="5"/>
  <c r="L373" i="5"/>
  <c r="K374" i="5"/>
  <c r="I374" i="5"/>
  <c r="J374" i="5"/>
  <c r="L374" i="5"/>
  <c r="K375" i="5"/>
  <c r="I375" i="5"/>
  <c r="J375" i="5"/>
  <c r="L375" i="5"/>
  <c r="K376" i="5"/>
  <c r="I376" i="5"/>
  <c r="J376" i="5"/>
  <c r="L376" i="5"/>
  <c r="K377" i="5"/>
  <c r="I377" i="5"/>
  <c r="J377" i="5"/>
  <c r="L377" i="5"/>
  <c r="K378" i="5"/>
  <c r="I378" i="5"/>
  <c r="J378" i="5"/>
  <c r="L378" i="5"/>
  <c r="K379" i="5"/>
  <c r="I379" i="5"/>
  <c r="J379" i="5"/>
  <c r="L379" i="5"/>
  <c r="K380" i="5"/>
  <c r="I380" i="5"/>
  <c r="J380" i="5"/>
  <c r="L380" i="5"/>
  <c r="K381" i="5"/>
  <c r="I381" i="5"/>
  <c r="J381" i="5"/>
  <c r="L381" i="5"/>
  <c r="K382" i="5"/>
  <c r="J382" i="5"/>
  <c r="L382" i="5"/>
  <c r="C28" i="7"/>
  <c r="D28" i="7"/>
  <c r="E28" i="7"/>
  <c r="K383" i="5"/>
  <c r="I383" i="5"/>
  <c r="J383" i="5"/>
  <c r="L383" i="5"/>
  <c r="K384" i="5"/>
  <c r="I384" i="5"/>
  <c r="J384" i="5"/>
  <c r="L384" i="5"/>
  <c r="K385" i="5"/>
  <c r="I385" i="5"/>
  <c r="J385" i="5"/>
  <c r="L385" i="5"/>
  <c r="K386" i="5"/>
  <c r="I386" i="5"/>
  <c r="J386" i="5"/>
  <c r="L386" i="5"/>
  <c r="K40" i="5"/>
  <c r="K68" i="5"/>
  <c r="K82" i="5"/>
  <c r="K83" i="5"/>
  <c r="K98" i="5"/>
  <c r="K99" i="5"/>
  <c r="K111" i="5"/>
  <c r="K159" i="5"/>
  <c r="K165" i="5"/>
  <c r="K212" i="5"/>
  <c r="K213" i="5"/>
  <c r="K214" i="5"/>
  <c r="K257" i="5"/>
  <c r="K304" i="5"/>
  <c r="K364" i="5"/>
  <c r="K365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G363" i="5"/>
  <c r="G371" i="5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G386" i="5"/>
  <c r="G385" i="5"/>
  <c r="G384" i="5"/>
  <c r="G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4" i="5"/>
  <c r="G205" i="5"/>
  <c r="G206" i="5"/>
  <c r="G207" i="5"/>
  <c r="G212" i="5"/>
  <c r="G213" i="5"/>
  <c r="G214" i="5"/>
  <c r="G215" i="5"/>
  <c r="G216" i="5"/>
  <c r="G217" i="5"/>
  <c r="G218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4" i="5"/>
  <c r="G365" i="5"/>
  <c r="G367" i="5"/>
  <c r="G368" i="5"/>
  <c r="G370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I6" i="19"/>
  <c r="I20" i="9" a="1"/>
  <c r="I20" i="9"/>
  <c r="K20" i="9" a="1"/>
  <c r="K20" i="9"/>
  <c r="L20" i="9" a="1"/>
  <c r="L20" i="9"/>
  <c r="M20" i="9" a="1"/>
  <c r="M20" i="9"/>
  <c r="I21" i="9" a="1"/>
  <c r="I21" i="9"/>
  <c r="K21" i="9" a="1"/>
  <c r="K21" i="9"/>
  <c r="L21" i="9" a="1"/>
  <c r="L21" i="9"/>
  <c r="M21" i="9" a="1"/>
  <c r="M21" i="9"/>
  <c r="I22" i="9" a="1"/>
  <c r="I22" i="9"/>
  <c r="K22" i="9" a="1"/>
  <c r="K22" i="9"/>
  <c r="L22" i="9" a="1"/>
  <c r="L22" i="9"/>
  <c r="M22" i="9" a="1"/>
  <c r="M22" i="9"/>
  <c r="I23" i="9" a="1"/>
  <c r="I23" i="9"/>
  <c r="K23" i="9" a="1"/>
  <c r="K23" i="9"/>
  <c r="L23" i="9" a="1"/>
  <c r="L23" i="9"/>
  <c r="M23" i="9" a="1"/>
  <c r="M23" i="9"/>
  <c r="I24" i="9" a="1"/>
  <c r="I24" i="9"/>
  <c r="K24" i="9" a="1"/>
  <c r="K24" i="9"/>
  <c r="L24" i="9" a="1"/>
  <c r="L24" i="9"/>
  <c r="M24" i="9" a="1"/>
  <c r="M24" i="9"/>
  <c r="I25" i="9" a="1"/>
  <c r="I25" i="9"/>
  <c r="K25" i="9" a="1"/>
  <c r="K25" i="9"/>
  <c r="L25" i="9" a="1"/>
  <c r="L25" i="9"/>
  <c r="M25" i="9" a="1"/>
  <c r="M25" i="9"/>
  <c r="I26" i="9" a="1"/>
  <c r="I26" i="9"/>
  <c r="K26" i="9" a="1"/>
  <c r="K26" i="9"/>
  <c r="L26" i="9" a="1"/>
  <c r="L26" i="9"/>
  <c r="M26" i="9" a="1"/>
  <c r="M26" i="9"/>
  <c r="I27" i="9" a="1"/>
  <c r="I27" i="9"/>
  <c r="K27" i="9" a="1"/>
  <c r="K27" i="9"/>
  <c r="L27" i="9" a="1"/>
  <c r="L27" i="9"/>
  <c r="M27" i="9" a="1"/>
  <c r="M27" i="9"/>
  <c r="I28" i="9" a="1"/>
  <c r="I28" i="9"/>
  <c r="K28" i="9" a="1"/>
  <c r="K28" i="9"/>
  <c r="L28" i="9" a="1"/>
  <c r="L28" i="9"/>
  <c r="M28" i="9" a="1"/>
  <c r="M28" i="9"/>
  <c r="I29" i="9" a="1"/>
  <c r="I29" i="9"/>
  <c r="K29" i="9" a="1"/>
  <c r="K29" i="9"/>
  <c r="L29" i="9" a="1"/>
  <c r="L29" i="9"/>
  <c r="M29" i="9" a="1"/>
  <c r="M29" i="9"/>
  <c r="I30" i="9" a="1"/>
  <c r="I30" i="9"/>
  <c r="K30" i="9" a="1"/>
  <c r="K30" i="9"/>
  <c r="L30" i="9" a="1"/>
  <c r="L30" i="9"/>
  <c r="M30" i="9" a="1"/>
  <c r="M30" i="9"/>
  <c r="I31" i="9" a="1"/>
  <c r="I31" i="9"/>
  <c r="K31" i="9" a="1"/>
  <c r="K31" i="9"/>
  <c r="L31" i="9" a="1"/>
  <c r="L31" i="9"/>
  <c r="M31" i="9" a="1"/>
  <c r="M31" i="9"/>
  <c r="I32" i="9" a="1"/>
  <c r="I32" i="9"/>
  <c r="K32" i="9" a="1"/>
  <c r="K32" i="9"/>
  <c r="L32" i="9" a="1"/>
  <c r="L32" i="9"/>
  <c r="M32" i="9" a="1"/>
  <c r="M32" i="9"/>
  <c r="I33" i="9" a="1"/>
  <c r="I33" i="9"/>
  <c r="K33" i="9" a="1"/>
  <c r="K33" i="9"/>
  <c r="L33" i="9" a="1"/>
  <c r="L33" i="9"/>
  <c r="M33" i="9" a="1"/>
  <c r="M33" i="9"/>
  <c r="I34" i="9" a="1"/>
  <c r="I34" i="9"/>
  <c r="K34" i="9" a="1"/>
  <c r="K34" i="9"/>
  <c r="L34" i="9" a="1"/>
  <c r="L34" i="9"/>
  <c r="M34" i="9" a="1"/>
  <c r="M34" i="9"/>
  <c r="I35" i="9" a="1"/>
  <c r="I35" i="9"/>
  <c r="K35" i="9" a="1"/>
  <c r="K35" i="9"/>
  <c r="L35" i="9" a="1"/>
  <c r="L35" i="9"/>
  <c r="M35" i="9" a="1"/>
  <c r="M35" i="9"/>
  <c r="I36" i="9" a="1"/>
  <c r="I36" i="9"/>
  <c r="K36" i="9" a="1"/>
  <c r="K36" i="9"/>
  <c r="L36" i="9" a="1"/>
  <c r="L36" i="9"/>
  <c r="M36" i="9" a="1"/>
  <c r="M36" i="9"/>
  <c r="I37" i="9" a="1"/>
  <c r="I37" i="9"/>
  <c r="K37" i="9" a="1"/>
  <c r="K37" i="9"/>
  <c r="L37" i="9" a="1"/>
  <c r="L37" i="9"/>
  <c r="M37" i="9" a="1"/>
  <c r="M37" i="9"/>
  <c r="I8" i="9" a="1"/>
  <c r="I8" i="9"/>
  <c r="K8" i="9" a="1"/>
  <c r="K8" i="9"/>
  <c r="L8" i="9" a="1"/>
  <c r="L8" i="9"/>
  <c r="M8" i="9" a="1"/>
  <c r="M8" i="9"/>
  <c r="I9" i="9" a="1"/>
  <c r="I9" i="9"/>
  <c r="K9" i="9" a="1"/>
  <c r="K9" i="9"/>
  <c r="L9" i="9" a="1"/>
  <c r="L9" i="9"/>
  <c r="M9" i="9" a="1"/>
  <c r="M9" i="9"/>
  <c r="I10" i="9" a="1"/>
  <c r="I10" i="9"/>
  <c r="K10" i="9" a="1"/>
  <c r="K10" i="9"/>
  <c r="L10" i="9" a="1"/>
  <c r="L10" i="9"/>
  <c r="M10" i="9" a="1"/>
  <c r="M10" i="9"/>
  <c r="I11" i="9" a="1"/>
  <c r="I11" i="9"/>
  <c r="K11" i="9" a="1"/>
  <c r="K11" i="9"/>
  <c r="L11" i="9" a="1"/>
  <c r="L11" i="9"/>
  <c r="M11" i="9" a="1"/>
  <c r="M11" i="9"/>
  <c r="I12" i="9" a="1"/>
  <c r="I12" i="9"/>
  <c r="K12" i="9" a="1"/>
  <c r="K12" i="9"/>
  <c r="L12" i="9" a="1"/>
  <c r="L12" i="9"/>
  <c r="M12" i="9" a="1"/>
  <c r="M12" i="9"/>
  <c r="I13" i="9" a="1"/>
  <c r="I13" i="9"/>
  <c r="K13" i="9" a="1"/>
  <c r="K13" i="9"/>
  <c r="L13" i="9" a="1"/>
  <c r="L13" i="9"/>
  <c r="M13" i="9" a="1"/>
  <c r="M13" i="9"/>
  <c r="I14" i="9" a="1"/>
  <c r="I14" i="9"/>
  <c r="K14" i="9" a="1"/>
  <c r="K14" i="9"/>
  <c r="L14" i="9" a="1"/>
  <c r="L14" i="9"/>
  <c r="M14" i="9" a="1"/>
  <c r="M14" i="9"/>
  <c r="I15" i="9" a="1"/>
  <c r="I15" i="9"/>
  <c r="K15" i="9" a="1"/>
  <c r="K15" i="9"/>
  <c r="L15" i="9" a="1"/>
  <c r="L15" i="9"/>
  <c r="M15" i="9" a="1"/>
  <c r="M15" i="9"/>
  <c r="I16" i="9" a="1"/>
  <c r="I16" i="9"/>
  <c r="K16" i="9" a="1"/>
  <c r="K16" i="9"/>
  <c r="L16" i="9" a="1"/>
  <c r="L16" i="9"/>
  <c r="M16" i="9" a="1"/>
  <c r="M16" i="9"/>
  <c r="I17" i="9" a="1"/>
  <c r="I17" i="9"/>
  <c r="K17" i="9" a="1"/>
  <c r="K17" i="9"/>
  <c r="L17" i="9" a="1"/>
  <c r="L17" i="9"/>
  <c r="M17" i="9" a="1"/>
  <c r="M17" i="9"/>
  <c r="I18" i="9" a="1"/>
  <c r="I18" i="9"/>
  <c r="K18" i="9" a="1"/>
  <c r="K18" i="9"/>
  <c r="L18" i="9" a="1"/>
  <c r="L18" i="9"/>
  <c r="M18" i="9" a="1"/>
  <c r="M18" i="9"/>
  <c r="I19" i="9" a="1"/>
  <c r="I19" i="9"/>
  <c r="K19" i="9" a="1"/>
  <c r="K19" i="9"/>
  <c r="L19" i="9" a="1"/>
  <c r="L19" i="9"/>
  <c r="M19" i="9" a="1"/>
  <c r="M19" i="9"/>
  <c r="I40" i="5"/>
  <c r="J40" i="5"/>
  <c r="I68" i="5"/>
  <c r="J68" i="5"/>
  <c r="I82" i="5"/>
  <c r="J82" i="5"/>
  <c r="I83" i="5"/>
  <c r="J83" i="5"/>
  <c r="I111" i="5"/>
  <c r="J111" i="5"/>
  <c r="I364" i="5"/>
  <c r="J364" i="5"/>
  <c r="I365" i="5"/>
  <c r="J365" i="5"/>
  <c r="I159" i="5"/>
  <c r="J159" i="5"/>
  <c r="I165" i="5"/>
  <c r="J165" i="5"/>
  <c r="I212" i="5"/>
  <c r="J212" i="5"/>
  <c r="I213" i="5"/>
  <c r="J213" i="5"/>
  <c r="I214" i="5"/>
  <c r="J214" i="5"/>
  <c r="I257" i="5"/>
  <c r="J257" i="5"/>
  <c r="I98" i="5"/>
  <c r="J98" i="5"/>
  <c r="I99" i="5"/>
  <c r="J99" i="5"/>
  <c r="I304" i="5"/>
  <c r="J304" i="5"/>
  <c r="B3" i="5"/>
  <c r="F10" i="9"/>
  <c r="F34" i="9"/>
  <c r="F36" i="9"/>
  <c r="S7" i="18" a="1"/>
  <c r="S26" i="18"/>
  <c r="S25" i="18"/>
  <c r="S24" i="18"/>
  <c r="S23" i="18"/>
  <c r="S22" i="18"/>
  <c r="S21" i="18"/>
  <c r="S20" i="18"/>
  <c r="S19" i="18"/>
  <c r="S18" i="18"/>
  <c r="S17" i="18"/>
  <c r="S16" i="18"/>
  <c r="S15" i="18"/>
  <c r="S14" i="18"/>
  <c r="S13" i="18"/>
  <c r="S12" i="18"/>
  <c r="S11" i="18"/>
  <c r="S10" i="18"/>
  <c r="S9" i="18"/>
  <c r="S8" i="18"/>
  <c r="S7" i="18"/>
  <c r="S27" i="18"/>
  <c r="C8" i="7"/>
  <c r="D8" i="7"/>
  <c r="E8" i="7"/>
  <c r="I8" i="18" a="1"/>
  <c r="I8" i="18"/>
  <c r="J8" i="18" a="1"/>
  <c r="J8" i="18"/>
  <c r="K8" i="18" a="1"/>
  <c r="K8" i="18"/>
  <c r="L8" i="18" a="1"/>
  <c r="L8" i="18"/>
  <c r="M8" i="18" a="1"/>
  <c r="M8" i="18"/>
  <c r="N8" i="18" a="1"/>
  <c r="N8" i="18"/>
  <c r="I9" i="18" a="1"/>
  <c r="I9" i="18"/>
  <c r="J9" i="18" a="1"/>
  <c r="J9" i="18"/>
  <c r="K9" i="18" a="1"/>
  <c r="K9" i="18"/>
  <c r="L9" i="18" a="1"/>
  <c r="L9" i="18"/>
  <c r="M9" i="18" a="1"/>
  <c r="M9" i="18"/>
  <c r="N9" i="18" a="1"/>
  <c r="N9" i="18"/>
  <c r="I10" i="18" a="1"/>
  <c r="I10" i="18"/>
  <c r="J10" i="18" a="1"/>
  <c r="J10" i="18"/>
  <c r="K10" i="18" a="1"/>
  <c r="K10" i="18"/>
  <c r="L10" i="18" a="1"/>
  <c r="L10" i="18"/>
  <c r="M10" i="18" a="1"/>
  <c r="M10" i="18"/>
  <c r="N10" i="18" a="1"/>
  <c r="N10" i="18"/>
  <c r="I11" i="18" a="1"/>
  <c r="I11" i="18"/>
  <c r="J11" i="18" a="1"/>
  <c r="J11" i="18"/>
  <c r="K11" i="18" a="1"/>
  <c r="K11" i="18"/>
  <c r="L11" i="18" a="1"/>
  <c r="L11" i="18"/>
  <c r="M11" i="18" a="1"/>
  <c r="M11" i="18"/>
  <c r="N11" i="18" a="1"/>
  <c r="N11" i="18"/>
  <c r="I12" i="18" a="1"/>
  <c r="I12" i="18"/>
  <c r="J12" i="18" a="1"/>
  <c r="J12" i="18"/>
  <c r="K12" i="18" a="1"/>
  <c r="K12" i="18"/>
  <c r="L12" i="18" a="1"/>
  <c r="L12" i="18"/>
  <c r="M12" i="18" a="1"/>
  <c r="M12" i="18"/>
  <c r="N12" i="18" a="1"/>
  <c r="N12" i="18"/>
  <c r="I13" i="18" a="1"/>
  <c r="I13" i="18"/>
  <c r="J13" i="18" a="1"/>
  <c r="J13" i="18"/>
  <c r="K13" i="18" a="1"/>
  <c r="K13" i="18"/>
  <c r="L13" i="18" a="1"/>
  <c r="L13" i="18"/>
  <c r="M13" i="18" a="1"/>
  <c r="M13" i="18"/>
  <c r="N13" i="18" a="1"/>
  <c r="N13" i="18"/>
  <c r="I14" i="18" a="1"/>
  <c r="I14" i="18"/>
  <c r="J14" i="18" a="1"/>
  <c r="J14" i="18"/>
  <c r="K14" i="18" a="1"/>
  <c r="K14" i="18"/>
  <c r="L14" i="18" a="1"/>
  <c r="L14" i="18"/>
  <c r="M14" i="18" a="1"/>
  <c r="M14" i="18"/>
  <c r="N14" i="18" a="1"/>
  <c r="N14" i="18"/>
  <c r="I15" i="18" a="1"/>
  <c r="I15" i="18"/>
  <c r="J15" i="18" a="1"/>
  <c r="J15" i="18"/>
  <c r="K15" i="18" a="1"/>
  <c r="K15" i="18"/>
  <c r="L15" i="18" a="1"/>
  <c r="L15" i="18"/>
  <c r="M15" i="18" a="1"/>
  <c r="M15" i="18"/>
  <c r="N15" i="18" a="1"/>
  <c r="N15" i="18"/>
  <c r="I16" i="18" a="1"/>
  <c r="I16" i="18"/>
  <c r="J16" i="18" a="1"/>
  <c r="J16" i="18"/>
  <c r="K16" i="18" a="1"/>
  <c r="K16" i="18"/>
  <c r="L16" i="18" a="1"/>
  <c r="L16" i="18"/>
  <c r="M16" i="18" a="1"/>
  <c r="M16" i="18"/>
  <c r="N16" i="18" a="1"/>
  <c r="N16" i="18"/>
  <c r="I17" i="18" a="1"/>
  <c r="I17" i="18"/>
  <c r="J17" i="18" a="1"/>
  <c r="J17" i="18"/>
  <c r="K17" i="18" a="1"/>
  <c r="K17" i="18"/>
  <c r="L17" i="18" a="1"/>
  <c r="L17" i="18"/>
  <c r="M17" i="18" a="1"/>
  <c r="M17" i="18"/>
  <c r="N17" i="18" a="1"/>
  <c r="N17" i="18"/>
  <c r="I18" i="18" a="1"/>
  <c r="I18" i="18"/>
  <c r="J18" i="18" a="1"/>
  <c r="J18" i="18"/>
  <c r="K18" i="18" a="1"/>
  <c r="K18" i="18"/>
  <c r="L18" i="18" a="1"/>
  <c r="L18" i="18"/>
  <c r="M18" i="18" a="1"/>
  <c r="M18" i="18"/>
  <c r="N18" i="18" a="1"/>
  <c r="N18" i="18"/>
  <c r="I19" i="18" a="1"/>
  <c r="I19" i="18"/>
  <c r="J19" i="18" a="1"/>
  <c r="J19" i="18"/>
  <c r="K19" i="18" a="1"/>
  <c r="K19" i="18"/>
  <c r="L19" i="18" a="1"/>
  <c r="L19" i="18"/>
  <c r="M19" i="18" a="1"/>
  <c r="M19" i="18"/>
  <c r="N19" i="18" a="1"/>
  <c r="N19" i="18"/>
  <c r="I20" i="18" a="1"/>
  <c r="I20" i="18"/>
  <c r="J20" i="18" a="1"/>
  <c r="J20" i="18"/>
  <c r="K20" i="18" a="1"/>
  <c r="K20" i="18"/>
  <c r="L20" i="18" a="1"/>
  <c r="L20" i="18"/>
  <c r="M20" i="18" a="1"/>
  <c r="M20" i="18"/>
  <c r="N20" i="18" a="1"/>
  <c r="N20" i="18"/>
  <c r="I21" i="18" a="1"/>
  <c r="I21" i="18"/>
  <c r="J21" i="18" a="1"/>
  <c r="J21" i="18"/>
  <c r="K21" i="18" a="1"/>
  <c r="K21" i="18"/>
  <c r="L21" i="18" a="1"/>
  <c r="L21" i="18"/>
  <c r="M21" i="18" a="1"/>
  <c r="M21" i="18"/>
  <c r="N21" i="18" a="1"/>
  <c r="N21" i="18"/>
  <c r="I22" i="18" a="1"/>
  <c r="I22" i="18"/>
  <c r="J22" i="18" a="1"/>
  <c r="J22" i="18"/>
  <c r="K22" i="18" a="1"/>
  <c r="K22" i="18"/>
  <c r="L22" i="18" a="1"/>
  <c r="L22" i="18"/>
  <c r="M22" i="18" a="1"/>
  <c r="M22" i="18"/>
  <c r="N22" i="18" a="1"/>
  <c r="N22" i="18"/>
  <c r="I23" i="18" a="1"/>
  <c r="I23" i="18"/>
  <c r="J23" i="18" a="1"/>
  <c r="J23" i="18"/>
  <c r="K23" i="18" a="1"/>
  <c r="K23" i="18"/>
  <c r="L23" i="18" a="1"/>
  <c r="L23" i="18"/>
  <c r="M23" i="18" a="1"/>
  <c r="M23" i="18"/>
  <c r="N23" i="18" a="1"/>
  <c r="N23" i="18"/>
  <c r="I24" i="18" a="1"/>
  <c r="I24" i="18"/>
  <c r="J24" i="18" a="1"/>
  <c r="J24" i="18"/>
  <c r="K24" i="18" a="1"/>
  <c r="K24" i="18"/>
  <c r="L24" i="18" a="1"/>
  <c r="L24" i="18"/>
  <c r="M24" i="18" a="1"/>
  <c r="M24" i="18"/>
  <c r="N24" i="18" a="1"/>
  <c r="N24" i="18"/>
  <c r="I25" i="18" a="1"/>
  <c r="I25" i="18"/>
  <c r="J25" i="18" a="1"/>
  <c r="J25" i="18"/>
  <c r="K25" i="18" a="1"/>
  <c r="K25" i="18"/>
  <c r="L25" i="18" a="1"/>
  <c r="L25" i="18"/>
  <c r="M25" i="18" a="1"/>
  <c r="M25" i="18"/>
  <c r="N25" i="18" a="1"/>
  <c r="N25" i="18"/>
  <c r="I26" i="18" a="1"/>
  <c r="I26" i="18"/>
  <c r="J26" i="18" a="1"/>
  <c r="J26" i="18"/>
  <c r="K26" i="18" a="1"/>
  <c r="K26" i="18"/>
  <c r="L26" i="18" a="1"/>
  <c r="L26" i="18"/>
  <c r="M26" i="18" a="1"/>
  <c r="M26" i="18"/>
  <c r="N26" i="18" a="1"/>
  <c r="N26" i="18"/>
  <c r="I27" i="18" a="1"/>
  <c r="I27" i="18"/>
  <c r="J27" i="18" a="1"/>
  <c r="J27" i="18"/>
  <c r="K27" i="18" a="1"/>
  <c r="K27" i="18"/>
  <c r="L27" i="18" a="1"/>
  <c r="L27" i="18"/>
  <c r="M27" i="18" a="1"/>
  <c r="M27" i="18"/>
  <c r="N27" i="18" a="1"/>
  <c r="N27" i="18"/>
  <c r="I28" i="18" a="1"/>
  <c r="I28" i="18"/>
  <c r="J28" i="18" a="1"/>
  <c r="J28" i="18"/>
  <c r="K28" i="18" a="1"/>
  <c r="K28" i="18"/>
  <c r="L28" i="18" a="1"/>
  <c r="L28" i="18"/>
  <c r="M28" i="18" a="1"/>
  <c r="M28" i="18"/>
  <c r="N28" i="18" a="1"/>
  <c r="N28" i="18"/>
  <c r="I29" i="18" a="1"/>
  <c r="I29" i="18"/>
  <c r="J29" i="18" a="1"/>
  <c r="J29" i="18"/>
  <c r="K29" i="18" a="1"/>
  <c r="K29" i="18"/>
  <c r="L29" i="18" a="1"/>
  <c r="L29" i="18"/>
  <c r="M29" i="18" a="1"/>
  <c r="M29" i="18"/>
  <c r="N29" i="18" a="1"/>
  <c r="N29" i="18"/>
  <c r="I30" i="18" a="1"/>
  <c r="I30" i="18"/>
  <c r="J30" i="18" a="1"/>
  <c r="J30" i="18"/>
  <c r="K30" i="18" a="1"/>
  <c r="K30" i="18"/>
  <c r="L30" i="18" a="1"/>
  <c r="L30" i="18"/>
  <c r="M30" i="18" a="1"/>
  <c r="M30" i="18"/>
  <c r="N30" i="18" a="1"/>
  <c r="N30" i="18"/>
  <c r="I31" i="18" a="1"/>
  <c r="I31" i="18"/>
  <c r="J31" i="18" a="1"/>
  <c r="J31" i="18"/>
  <c r="K31" i="18" a="1"/>
  <c r="K31" i="18"/>
  <c r="L31" i="18" a="1"/>
  <c r="L31" i="18"/>
  <c r="M31" i="18" a="1"/>
  <c r="M31" i="18"/>
  <c r="N31" i="18" a="1"/>
  <c r="N31" i="18"/>
  <c r="I32" i="18" a="1"/>
  <c r="I32" i="18"/>
  <c r="J32" i="18" a="1"/>
  <c r="J32" i="18"/>
  <c r="K32" i="18" a="1"/>
  <c r="K32" i="18"/>
  <c r="L32" i="18" a="1"/>
  <c r="L32" i="18"/>
  <c r="M32" i="18" a="1"/>
  <c r="M32" i="18"/>
  <c r="N32" i="18" a="1"/>
  <c r="N32" i="18"/>
  <c r="I33" i="18" a="1"/>
  <c r="I33" i="18"/>
  <c r="J33" i="18" a="1"/>
  <c r="J33" i="18"/>
  <c r="K33" i="18" a="1"/>
  <c r="K33" i="18"/>
  <c r="L33" i="18" a="1"/>
  <c r="L33" i="18"/>
  <c r="M33" i="18" a="1"/>
  <c r="M33" i="18"/>
  <c r="N33" i="18" a="1"/>
  <c r="N33" i="18"/>
  <c r="I34" i="18" a="1"/>
  <c r="I34" i="18"/>
  <c r="J34" i="18" a="1"/>
  <c r="J34" i="18"/>
  <c r="K34" i="18" a="1"/>
  <c r="K34" i="18"/>
  <c r="L34" i="18" a="1"/>
  <c r="L34" i="18"/>
  <c r="M34" i="18" a="1"/>
  <c r="M34" i="18"/>
  <c r="N34" i="18" a="1"/>
  <c r="N34" i="18"/>
  <c r="I35" i="18" a="1"/>
  <c r="I35" i="18"/>
  <c r="J35" i="18" a="1"/>
  <c r="J35" i="18"/>
  <c r="K35" i="18" a="1"/>
  <c r="K35" i="18"/>
  <c r="L35" i="18" a="1"/>
  <c r="L35" i="18"/>
  <c r="M35" i="18" a="1"/>
  <c r="M35" i="18"/>
  <c r="N35" i="18" a="1"/>
  <c r="N35" i="18"/>
  <c r="I36" i="18" a="1"/>
  <c r="I36" i="18"/>
  <c r="J36" i="18" a="1"/>
  <c r="J36" i="18"/>
  <c r="K36" i="18" a="1"/>
  <c r="K36" i="18"/>
  <c r="L36" i="18" a="1"/>
  <c r="L36" i="18"/>
  <c r="M36" i="18" a="1"/>
  <c r="M36" i="18"/>
  <c r="N36" i="18" a="1"/>
  <c r="N36" i="18"/>
  <c r="Q7" i="18" a="1"/>
  <c r="Q7" i="18"/>
  <c r="Q8" i="18"/>
  <c r="Q9" i="18"/>
  <c r="R7" i="18" a="1"/>
  <c r="R7" i="18"/>
  <c r="R8" i="18"/>
  <c r="R9" i="18"/>
  <c r="R10" i="18"/>
  <c r="R11" i="18"/>
  <c r="R12" i="18"/>
  <c r="R13" i="18"/>
  <c r="R14" i="18"/>
  <c r="R15" i="18"/>
  <c r="R16" i="18"/>
  <c r="R17" i="18"/>
  <c r="F11" i="18"/>
  <c r="F33" i="18"/>
  <c r="N7" i="18" a="1"/>
  <c r="N7" i="18"/>
  <c r="F14" i="18"/>
  <c r="F35" i="18"/>
  <c r="F20" i="18"/>
  <c r="J7" i="18" a="1"/>
  <c r="J7" i="18"/>
  <c r="F19" i="18"/>
  <c r="F18" i="18"/>
  <c r="F17" i="18"/>
  <c r="F16" i="18"/>
  <c r="F15" i="18"/>
  <c r="F12" i="18"/>
  <c r="M7" i="18" a="1"/>
  <c r="M7" i="18"/>
  <c r="L7" i="18" a="1"/>
  <c r="L7" i="18"/>
  <c r="K7" i="18" a="1"/>
  <c r="K7" i="18"/>
  <c r="I7" i="18" a="1"/>
  <c r="I7" i="18"/>
  <c r="C53" i="7"/>
  <c r="D53" i="7"/>
  <c r="E53" i="7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C48" i="7"/>
  <c r="D48" i="7"/>
  <c r="E48" i="7"/>
  <c r="F21" i="9"/>
  <c r="I7" i="9" a="1"/>
  <c r="I7" i="9"/>
  <c r="L7" i="9" a="1"/>
  <c r="L7" i="9"/>
  <c r="M7" i="9" a="1"/>
  <c r="M7" i="9"/>
  <c r="K7" i="9" a="1"/>
  <c r="K7" i="9"/>
  <c r="G2" i="1"/>
  <c r="O386" i="5"/>
  <c r="O385" i="5"/>
  <c r="O384" i="5"/>
  <c r="O383" i="5"/>
  <c r="O382" i="5"/>
  <c r="O381" i="5"/>
  <c r="O380" i="5"/>
  <c r="O379" i="5"/>
  <c r="O378" i="5"/>
  <c r="O377" i="5"/>
  <c r="O376" i="5"/>
  <c r="O375" i="5"/>
  <c r="O374" i="5"/>
  <c r="O373" i="5"/>
  <c r="O372" i="5"/>
  <c r="O371" i="5"/>
  <c r="O370" i="5"/>
  <c r="O369" i="5"/>
  <c r="O368" i="5"/>
  <c r="O367" i="5"/>
  <c r="O366" i="5"/>
  <c r="O365" i="5"/>
  <c r="O364" i="5"/>
  <c r="O363" i="5"/>
  <c r="O362" i="5"/>
  <c r="O361" i="5"/>
  <c r="O360" i="5"/>
  <c r="O359" i="5"/>
  <c r="O358" i="5"/>
  <c r="O357" i="5"/>
  <c r="O356" i="5"/>
  <c r="O355" i="5"/>
  <c r="O354" i="5"/>
  <c r="O353" i="5"/>
  <c r="O352" i="5"/>
  <c r="O351" i="5"/>
  <c r="O350" i="5"/>
  <c r="O349" i="5"/>
  <c r="O348" i="5"/>
  <c r="O347" i="5"/>
  <c r="O346" i="5"/>
  <c r="O345" i="5"/>
  <c r="O344" i="5"/>
  <c r="O343" i="5"/>
  <c r="O342" i="5"/>
  <c r="O341" i="5"/>
  <c r="O340" i="5"/>
  <c r="O339" i="5"/>
  <c r="O338" i="5"/>
  <c r="O337" i="5"/>
  <c r="O336" i="5"/>
  <c r="O335" i="5"/>
  <c r="O334" i="5"/>
  <c r="O333" i="5"/>
  <c r="O332" i="5"/>
  <c r="O331" i="5"/>
  <c r="O330" i="5"/>
  <c r="O329" i="5"/>
  <c r="O328" i="5"/>
  <c r="O327" i="5"/>
  <c r="O326" i="5"/>
  <c r="O325" i="5"/>
  <c r="O324" i="5"/>
  <c r="O323" i="5"/>
  <c r="O322" i="5"/>
  <c r="O321" i="5"/>
  <c r="O320" i="5"/>
  <c r="O319" i="5"/>
  <c r="O318" i="5"/>
  <c r="O317" i="5"/>
  <c r="O316" i="5"/>
  <c r="O315" i="5"/>
  <c r="O314" i="5"/>
  <c r="O313" i="5"/>
  <c r="O312" i="5"/>
  <c r="O311" i="5"/>
  <c r="O310" i="5"/>
  <c r="O309" i="5"/>
  <c r="O308" i="5"/>
  <c r="O307" i="5"/>
  <c r="O306" i="5"/>
  <c r="O305" i="5"/>
  <c r="O304" i="5"/>
  <c r="O303" i="5"/>
  <c r="O302" i="5"/>
  <c r="O301" i="5"/>
  <c r="O300" i="5"/>
  <c r="O299" i="5"/>
  <c r="O298" i="5"/>
  <c r="O297" i="5"/>
  <c r="O296" i="5"/>
  <c r="O295" i="5"/>
  <c r="O294" i="5"/>
  <c r="O293" i="5"/>
  <c r="O292" i="5"/>
  <c r="O291" i="5"/>
  <c r="O290" i="5"/>
  <c r="O289" i="5"/>
  <c r="O288" i="5"/>
  <c r="O287" i="5"/>
  <c r="O286" i="5"/>
  <c r="O285" i="5"/>
  <c r="O284" i="5"/>
  <c r="O283" i="5"/>
  <c r="O282" i="5"/>
  <c r="O281" i="5"/>
  <c r="O280" i="5"/>
  <c r="O279" i="5"/>
  <c r="O278" i="5"/>
  <c r="O277" i="5"/>
  <c r="O276" i="5"/>
  <c r="O275" i="5"/>
  <c r="O274" i="5"/>
  <c r="O273" i="5"/>
  <c r="O272" i="5"/>
  <c r="O271" i="5"/>
  <c r="O270" i="5"/>
  <c r="O269" i="5"/>
  <c r="O268" i="5"/>
  <c r="O267" i="5"/>
  <c r="O266" i="5"/>
  <c r="O265" i="5"/>
  <c r="O264" i="5"/>
  <c r="O263" i="5"/>
  <c r="O262" i="5"/>
  <c r="O261" i="5"/>
  <c r="O260" i="5"/>
  <c r="O259" i="5"/>
  <c r="O258" i="5"/>
  <c r="O257" i="5"/>
  <c r="O256" i="5"/>
  <c r="O255" i="5"/>
  <c r="O254" i="5"/>
  <c r="O253" i="5"/>
  <c r="O252" i="5"/>
  <c r="O251" i="5"/>
  <c r="O250" i="5"/>
  <c r="O249" i="5"/>
  <c r="O248" i="5"/>
  <c r="O247" i="5"/>
  <c r="O246" i="5"/>
  <c r="O245" i="5"/>
  <c r="O244" i="5"/>
  <c r="O243" i="5"/>
  <c r="O242" i="5"/>
  <c r="O241" i="5"/>
  <c r="O240" i="5"/>
  <c r="O239" i="5"/>
  <c r="O238" i="5"/>
  <c r="O237" i="5"/>
  <c r="O236" i="5"/>
  <c r="O235" i="5"/>
  <c r="O234" i="5"/>
  <c r="O233" i="5"/>
  <c r="O232" i="5"/>
  <c r="O231" i="5"/>
  <c r="O230" i="5"/>
  <c r="O229" i="5"/>
  <c r="O228" i="5"/>
  <c r="O227" i="5"/>
  <c r="O226" i="5"/>
  <c r="O225" i="5"/>
  <c r="O224" i="5"/>
  <c r="O223" i="5"/>
  <c r="O222" i="5"/>
  <c r="O221" i="5"/>
  <c r="O220" i="5"/>
  <c r="O219" i="5"/>
  <c r="O218" i="5"/>
  <c r="O217" i="5"/>
  <c r="O216" i="5"/>
  <c r="O215" i="5"/>
  <c r="O214" i="5"/>
  <c r="O213" i="5"/>
  <c r="O212" i="5"/>
  <c r="O211" i="5"/>
  <c r="O210" i="5"/>
  <c r="O209" i="5"/>
  <c r="O208" i="5"/>
  <c r="O207" i="5"/>
  <c r="O206" i="5"/>
  <c r="O205" i="5"/>
  <c r="O204" i="5"/>
  <c r="O203" i="5"/>
  <c r="O202" i="5"/>
  <c r="O201" i="5"/>
  <c r="O200" i="5"/>
  <c r="O199" i="5"/>
  <c r="O198" i="5"/>
  <c r="O197" i="5"/>
  <c r="O196" i="5"/>
  <c r="O195" i="5"/>
  <c r="O194" i="5"/>
  <c r="O193" i="5"/>
  <c r="O192" i="5"/>
  <c r="O191" i="5"/>
  <c r="O190" i="5"/>
  <c r="O189" i="5"/>
  <c r="O188" i="5"/>
  <c r="O187" i="5"/>
  <c r="O186" i="5"/>
  <c r="O185" i="5"/>
  <c r="O184" i="5"/>
  <c r="O183" i="5"/>
  <c r="O182" i="5"/>
  <c r="O181" i="5"/>
  <c r="O180" i="5"/>
  <c r="O179" i="5"/>
  <c r="O178" i="5"/>
  <c r="O177" i="5"/>
  <c r="O176" i="5"/>
  <c r="O175" i="5"/>
  <c r="O174" i="5"/>
  <c r="O173" i="5"/>
  <c r="O172" i="5"/>
  <c r="O171" i="5"/>
  <c r="O170" i="5"/>
  <c r="O169" i="5"/>
  <c r="O168" i="5"/>
  <c r="O167" i="5"/>
  <c r="O166" i="5"/>
  <c r="O165" i="5"/>
  <c r="O164" i="5"/>
  <c r="O163" i="5"/>
  <c r="O162" i="5"/>
  <c r="O161" i="5"/>
  <c r="O160" i="5"/>
  <c r="O159" i="5"/>
  <c r="O158" i="5"/>
  <c r="O157" i="5"/>
  <c r="O156" i="5"/>
  <c r="O155" i="5"/>
  <c r="O154" i="5"/>
  <c r="O153" i="5"/>
  <c r="O152" i="5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E19" i="19"/>
  <c r="E18" i="19"/>
  <c r="E17" i="19"/>
  <c r="E16" i="19"/>
  <c r="E15" i="19"/>
  <c r="E14" i="19"/>
  <c r="E20" i="19"/>
  <c r="I12" i="19"/>
</calcChain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<sst xmlns="http://schemas.openxmlformats.org/spreadsheetml/2006/main" count="1858" uniqueCount="199">
  <si>
    <t>DATE</t>
  </si>
  <si>
    <t>CAMPAGNE</t>
  </si>
  <si>
    <t>CATEGORIE</t>
  </si>
  <si>
    <t>PRODUIT</t>
  </si>
  <si>
    <t>QTE</t>
  </si>
  <si>
    <t>MONTANT</t>
  </si>
  <si>
    <t>PRIX UNITAIRE</t>
  </si>
  <si>
    <t>SENS</t>
  </si>
  <si>
    <t>ENGRAIS</t>
  </si>
  <si>
    <t>Terragral</t>
  </si>
  <si>
    <t>Achats</t>
  </si>
  <si>
    <t>Pac 22</t>
  </si>
  <si>
    <t>Physiolith</t>
  </si>
  <si>
    <t>Physalg 15</t>
  </si>
  <si>
    <t>Urée</t>
  </si>
  <si>
    <t>DESHERBANT</t>
  </si>
  <si>
    <t>Glyphosate</t>
  </si>
  <si>
    <t>Athlet</t>
  </si>
  <si>
    <t>Allié SX</t>
  </si>
  <si>
    <t>Pragma</t>
  </si>
  <si>
    <t>Actual Pratic</t>
  </si>
  <si>
    <t>Harmony SX</t>
  </si>
  <si>
    <t>Gratil</t>
  </si>
  <si>
    <t>Nikeyl</t>
  </si>
  <si>
    <t>DIVERS</t>
  </si>
  <si>
    <t>Heliosol</t>
  </si>
  <si>
    <t>Contreverse</t>
  </si>
  <si>
    <t xml:space="preserve">Sam 40 </t>
  </si>
  <si>
    <t>Effecto</t>
  </si>
  <si>
    <t>Reobore</t>
  </si>
  <si>
    <t>Fertilider</t>
  </si>
  <si>
    <t>FONGICIDES</t>
  </si>
  <si>
    <t>Prosaro</t>
  </si>
  <si>
    <t>Mirage</t>
  </si>
  <si>
    <t>Opus new</t>
  </si>
  <si>
    <t>Pixel</t>
  </si>
  <si>
    <t>Aviator</t>
  </si>
  <si>
    <t>SEMENCES</t>
  </si>
  <si>
    <t>Soleiho Certifiées</t>
  </si>
  <si>
    <t>Fabulis Certifiées</t>
  </si>
  <si>
    <t>Pescadoux Certifiées</t>
  </si>
  <si>
    <t>Miradoux Certifiées</t>
  </si>
  <si>
    <t>Sculture Certifiées</t>
  </si>
  <si>
    <t>Pescadoux</t>
  </si>
  <si>
    <t>Miradoux</t>
  </si>
  <si>
    <t>Sculture</t>
  </si>
  <si>
    <t>ANNEE</t>
  </si>
  <si>
    <t>N°</t>
  </si>
  <si>
    <t>CULTURE</t>
  </si>
  <si>
    <t>VARIETE</t>
  </si>
  <si>
    <t>LG5474</t>
  </si>
  <si>
    <t>PESCADOUX</t>
  </si>
  <si>
    <t>SY SAMIN</t>
  </si>
  <si>
    <t>GEL</t>
  </si>
  <si>
    <t>-</t>
  </si>
  <si>
    <t>MIRADOUX</t>
  </si>
  <si>
    <t>SCULPTUR</t>
  </si>
  <si>
    <t>MAS 96 OL</t>
  </si>
  <si>
    <t>SOLEIHO</t>
  </si>
  <si>
    <t>FABULIS - PESCADOUX</t>
  </si>
  <si>
    <t>ISILDUR</t>
  </si>
  <si>
    <t>PARCELLE</t>
  </si>
  <si>
    <t>SURFACE / HA</t>
  </si>
  <si>
    <t>ILOT</t>
  </si>
  <si>
    <t>QTE / HA</t>
  </si>
  <si>
    <t>NB / HA</t>
  </si>
  <si>
    <t xml:space="preserve">QTE TOTAL </t>
  </si>
  <si>
    <t>Unit</t>
  </si>
  <si>
    <t>Kg</t>
  </si>
  <si>
    <t>L</t>
  </si>
  <si>
    <t>g</t>
  </si>
  <si>
    <t>Mercantor Gold</t>
  </si>
  <si>
    <t>Acanto</t>
  </si>
  <si>
    <t>COÛT TOTAL</t>
  </si>
  <si>
    <t>QUANTITÉ</t>
  </si>
  <si>
    <t>COÛT MOYEN</t>
  </si>
  <si>
    <t>TOURNESOL</t>
  </si>
  <si>
    <t>BLE TENDRE</t>
  </si>
  <si>
    <t xml:space="preserve">BLE DUR </t>
  </si>
  <si>
    <t>SORGHO</t>
  </si>
  <si>
    <t>POIS CHICHE</t>
  </si>
  <si>
    <t xml:space="preserve">SOJA </t>
  </si>
  <si>
    <t xml:space="preserve">POIS </t>
  </si>
  <si>
    <t>Fenova</t>
  </si>
  <si>
    <t>Primus</t>
  </si>
  <si>
    <t>Roundup Innov</t>
  </si>
  <si>
    <t>Opus New</t>
  </si>
  <si>
    <t>Diams</t>
  </si>
  <si>
    <t>Kestrel</t>
  </si>
  <si>
    <t>DOSE MAX</t>
  </si>
  <si>
    <t>Novall</t>
  </si>
  <si>
    <t>Métazachlore (400g/l) + quinmérac (100g/l)</t>
  </si>
  <si>
    <t>MATIERE ACTIVE</t>
  </si>
  <si>
    <t>Tournesol - Désherbage (dicotylédones annuelles et graminées annuelles) - Amimagus</t>
  </si>
  <si>
    <t>COMMENTAIRES</t>
  </si>
  <si>
    <t>Forme chimique uréique CO(NH2)2.</t>
  </si>
  <si>
    <t>Glycine</t>
  </si>
  <si>
    <t>Engrais azoté à 46%</t>
  </si>
  <si>
    <t>Désherbant total foliaire systémique. Adjoindre  un tensioactif (ou surfactant).</t>
  </si>
  <si>
    <t xml:space="preserve">CATEGORIE </t>
  </si>
  <si>
    <t xml:space="preserve">QTE/HA </t>
  </si>
  <si>
    <t>MONTANT €</t>
  </si>
  <si>
    <t>INSECTICIDE</t>
  </si>
  <si>
    <t xml:space="preserve">COÛT/HA </t>
  </si>
  <si>
    <t>SURFACE</t>
  </si>
  <si>
    <t>SYNTHESE UTILISATIONS / PARCELLE</t>
  </si>
  <si>
    <t>TOTAL UTILISATIONS</t>
  </si>
  <si>
    <t>prothioconazole 125 g/l, tébuconazole 125 g/l</t>
  </si>
  <si>
    <t>250 g/l picoxystrobine</t>
  </si>
  <si>
    <t>FAMILLE</t>
  </si>
  <si>
    <t>Strobilurines</t>
  </si>
  <si>
    <t xml:space="preserve">Fongicide pour le traitement de céréales - Rouille brune </t>
  </si>
  <si>
    <t>Fusarioses base des tiges, Fusarioses sur épis, Rouille jaune, Septorioses, Rouille brune, Fusarioses sur épis (à Fusarium), Fusarioses sur épis (à Microdochium), Oïdium</t>
  </si>
  <si>
    <t>FABRICANT</t>
  </si>
  <si>
    <t>BAYER</t>
  </si>
  <si>
    <t>DU PONT DE NEMOURS SAS</t>
  </si>
  <si>
    <t>Septorioses, Fusarioses sur épis, Rouille brune, Helminthosporiose, Rouille noire, Piétin-verse, Rouille jaune, Oïdium</t>
  </si>
  <si>
    <t>75 g/l bixafen   150 g/l prothioconazole</t>
  </si>
  <si>
    <t>VENTES (€/T)</t>
  </si>
  <si>
    <t>MARGE BRUTE</t>
  </si>
  <si>
    <t>RENDEMENT (q/ha)</t>
  </si>
  <si>
    <t>AIDES PAC (€/ha)</t>
  </si>
  <si>
    <t>PRODUIT (€/ha)</t>
  </si>
  <si>
    <t>Pulsar</t>
  </si>
  <si>
    <t>Filan</t>
  </si>
  <si>
    <t>Mas 95 OL</t>
  </si>
  <si>
    <t>LG 5474</t>
  </si>
  <si>
    <t>Inoculum Micro</t>
  </si>
  <si>
    <t>Isidor</t>
  </si>
  <si>
    <t>Ardito</t>
  </si>
  <si>
    <t>Mollustop</t>
  </si>
  <si>
    <t>Samin Clearfield</t>
  </si>
  <si>
    <t>Extrasol</t>
  </si>
  <si>
    <t>STOCK</t>
  </si>
  <si>
    <t>Irrigation</t>
  </si>
  <si>
    <t>mm</t>
  </si>
  <si>
    <t>Isidor Certifiées</t>
  </si>
  <si>
    <t>Metarex</t>
  </si>
  <si>
    <t>OREGRAIN</t>
  </si>
  <si>
    <t>ACRO</t>
  </si>
  <si>
    <t>ARDITO</t>
  </si>
  <si>
    <t>ISIDOR</t>
  </si>
  <si>
    <t>Pac 24</t>
  </si>
  <si>
    <t>Andres</t>
  </si>
  <si>
    <t>Bousquet Château</t>
  </si>
  <si>
    <t xml:space="preserve">Bousquet Pourtanel </t>
  </si>
  <si>
    <t>Bousquet Prairie</t>
  </si>
  <si>
    <t>Bousquet Route</t>
  </si>
  <si>
    <t xml:space="preserve">Engleyse Bousquet </t>
  </si>
  <si>
    <t>Engleyse métairie</t>
  </si>
  <si>
    <t xml:space="preserve">Engleyse Route 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</si>
  <si>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</si>
  <si>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</si>
  <si>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</si>
  <si>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</si>
  <si>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</si>
  <si>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</si>
  <si>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</si>
  <si>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</si>
  <si>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 xml:space="preserve">Labaou Devant </t>
  </si>
  <si>
    <t>Labaou Plaine</t>
  </si>
  <si>
    <t>Laclos</t>
  </si>
  <si>
    <t>Lescandes</t>
  </si>
  <si>
    <t xml:space="preserve">Lescandes Côteau </t>
  </si>
  <si>
    <t>Moulin Barthes</t>
  </si>
  <si>
    <t>Moulin Côteau</t>
  </si>
  <si>
    <t>Moulin Jachêre</t>
  </si>
  <si>
    <t xml:space="preserve">Picotalène Midi </t>
  </si>
  <si>
    <t>Picotalène Nord</t>
  </si>
  <si>
    <t>Pourtanel</t>
  </si>
  <si>
    <t>Seillonne</t>
  </si>
  <si>
    <t>Picotalène Midi</t>
  </si>
  <si>
    <t>Lescandes Côteau</t>
  </si>
  <si>
    <t>Engleyse Route</t>
  </si>
  <si>
    <t>Engleyse Bousquet</t>
  </si>
  <si>
    <t>Bousquet Pourtanel</t>
  </si>
  <si>
    <t>Labaou Devant</t>
  </si>
  <si>
    <t>Disque 4 OS</t>
  </si>
  <si>
    <t xml:space="preserve">Kirpy </t>
  </si>
  <si>
    <t>Herse Rotative</t>
  </si>
  <si>
    <t>Bineuse</t>
  </si>
  <si>
    <t>Sous soleuse</t>
  </si>
  <si>
    <t xml:space="preserve">Dent Michel </t>
  </si>
  <si>
    <t xml:space="preserve">Broyeur </t>
  </si>
  <si>
    <t>Charrue</t>
  </si>
  <si>
    <t>TRAVAIL DU SOL</t>
  </si>
  <si>
    <t>Récolte</t>
  </si>
  <si>
    <t>Qt</t>
  </si>
  <si>
    <t>t</t>
  </si>
  <si>
    <t>Basocarb 90</t>
  </si>
  <si>
    <t>ASCOTT</t>
  </si>
  <si>
    <t>CELLULE</t>
  </si>
  <si>
    <t>SYNTHÈSE PAR CULTURE</t>
  </si>
  <si>
    <t>BOA</t>
  </si>
  <si>
    <t>CoverCrop</t>
  </si>
  <si>
    <t>PAC 24</t>
  </si>
  <si>
    <t>RECOLTE</t>
  </si>
  <si>
    <t>IRRIGATION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</si>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</sst>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_(* #,##0_);_(* \(#,##0\);_(* &quot;-&quot;??_);_(@_)"/>
    <numFmt numFmtId="165" formatCode="_([$€-2]\ * #,##0_);_([$€-2]\ * \(#,##0\);_([$€-2]\ * &quot;-&quot;??_);_(@_)"/>
    <numFmt numFmtId="166" formatCode="_([$€-2]\ * #,##0.00_);_([$€-2]\ * \(#,##0.00\);_([$€-2]\ * &quot;-&quot;??_);_(@_)"/>
    <numFmt numFmtId="167" formatCode="_([$€-2]\ * #,##0.0_);_([$€-2]\ * \(#,##0.0\);_([$€-2]\ * &quot;-&quot;??_);_(@_)"/>
    <numFmt numFmtId="168" formatCode="d/m/yy;@"/>
    <numFmt numFmtId="169" formatCode="&quot;€&quot;#,##0.00"/>
    <numFmt numFmtId="170" formatCode="[$-10483]dd\-mm\-yy;@"/>
    <numFmt numFmtId="171" formatCode="[$€-2]\ #,##0"/>
    <numFmt numFmtId="172" formatCode="[$€-2]\ #,##0.00"/>
  </numFmts>
  <fonts count="4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/>
      <name val="Calibri"/>
      <scheme val="minor"/>
    </font>
    <font>
      <sz val="12"/>
      <color theme="1"/>
      <name val="Myriad Set Text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3"/>
      <color theme="1"/>
      <name val="Calibri"/>
      <scheme val="minor"/>
    </font>
    <font>
      <b/>
      <sz val="14"/>
      <name val="Calibri"/>
      <scheme val="minor"/>
    </font>
    <font>
      <b/>
      <sz val="16"/>
      <name val="Calibri"/>
      <scheme val="minor"/>
    </font>
    <font>
      <i/>
      <sz val="14"/>
      <color theme="1"/>
      <name val="Calibri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b/>
      <sz val="14"/>
      <color theme="0"/>
      <name val="Calibri"/>
      <scheme val="minor"/>
    </font>
    <font>
      <i/>
      <sz val="14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sz val="12"/>
      <color rgb="FF000000"/>
      <name val="Myriad Set Text"/>
    </font>
    <font>
      <b/>
      <sz val="13"/>
      <color rgb="FF1F497D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  <font>
      <b/>
      <sz val="16"/>
      <color indexed="9"/>
      <name val="Myriad Set Text"/>
    </font>
    <font>
      <b/>
      <sz val="16"/>
      <name val="Myriad Set Text"/>
    </font>
    <font>
      <b/>
      <sz val="16"/>
      <name val="Calibri"/>
    </font>
    <font>
      <b/>
      <sz val="16"/>
      <name val="Myriad Pro"/>
    </font>
    <font>
      <b/>
      <sz val="12"/>
      <color theme="1"/>
      <name val="Myriad Pro"/>
    </font>
    <font>
      <sz val="13"/>
      <color indexed="8"/>
      <name val="Calibri"/>
    </font>
    <font>
      <i/>
      <sz val="16"/>
      <name val="Myriad Set Text"/>
    </font>
    <font>
      <b/>
      <sz val="16"/>
      <color theme="0"/>
      <name val="Myriad Pro"/>
    </font>
    <font>
      <sz val="14"/>
      <color indexed="8"/>
      <name val="Myriad Set Text"/>
    </font>
    <font>
      <sz val="13"/>
      <color indexed="8"/>
      <name val="Myriad Set Text"/>
    </font>
    <font>
      <b/>
      <sz val="16"/>
      <color indexed="8"/>
      <name val="Myriad Pro"/>
    </font>
    <font>
      <b/>
      <sz val="14"/>
      <color indexed="8"/>
      <name val="Myriad Set Text"/>
    </font>
    <font>
      <b/>
      <sz val="16"/>
      <color indexed="8"/>
      <name val="Myriad Set Text"/>
    </font>
    <font>
      <i/>
      <sz val="14"/>
      <color indexed="8"/>
      <name val="Myriad Set Text"/>
    </font>
    <font>
      <i/>
      <sz val="14"/>
      <name val="Myriad Set Text"/>
    </font>
  </fonts>
  <fills count="1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rgb="FFA7BFDE"/>
      </bottom>
      <diagonal/>
    </border>
  </borders>
  <cellStyleXfs count="2327">
    <xf numFmtId="0" fontId="0" fillId="0" borderId="0"/>
    <xf numFmtId="43" fontId="3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37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11" fillId="0" borderId="1" xfId="2" applyFont="1" applyAlignment="1">
      <alignment horizontal="center" vertical="center"/>
    </xf>
    <xf numFmtId="0" fontId="0" fillId="0" borderId="0" xfId="0" applyAlignment="1">
      <alignment vertical="center"/>
    </xf>
    <xf numFmtId="168" fontId="11" fillId="0" borderId="1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8" fontId="0" fillId="4" borderId="0" xfId="0" applyNumberFormat="1" applyFill="1" applyAlignment="1">
      <alignment horizont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6" fillId="0" borderId="0" xfId="0" applyFont="1" applyAlignment="1">
      <alignment horizontal="left"/>
    </xf>
    <xf numFmtId="0" fontId="5" fillId="0" borderId="2" xfId="3" applyAlignment="1">
      <alignment horizontal="center" vertical="center"/>
    </xf>
    <xf numFmtId="0" fontId="5" fillId="0" borderId="2" xfId="3" applyNumberFormat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7" fillId="0" borderId="17" xfId="0" applyFont="1" applyBorder="1"/>
    <xf numFmtId="170" fontId="15" fillId="0" borderId="14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6" fillId="0" borderId="10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7" fillId="3" borderId="11" xfId="3" applyFont="1" applyFill="1" applyBorder="1" applyAlignment="1">
      <alignment horizontal="center" vertical="center"/>
    </xf>
    <xf numFmtId="0" fontId="17" fillId="3" borderId="12" xfId="3" applyFont="1" applyFill="1" applyBorder="1" applyAlignment="1">
      <alignment horizontal="center" vertical="center"/>
    </xf>
    <xf numFmtId="0" fontId="17" fillId="3" borderId="13" xfId="3" applyFont="1" applyFill="1" applyBorder="1" applyAlignment="1">
      <alignment horizontal="center" vertical="center"/>
    </xf>
    <xf numFmtId="172" fontId="15" fillId="0" borderId="15" xfId="0" applyNumberFormat="1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172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0" fontId="16" fillId="2" borderId="11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horizontal="right" vertical="center"/>
    </xf>
    <xf numFmtId="0" fontId="16" fillId="2" borderId="16" xfId="0" applyFont="1" applyFill="1" applyBorder="1" applyAlignment="1">
      <alignment vertical="center"/>
    </xf>
    <xf numFmtId="0" fontId="16" fillId="2" borderId="17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right" vertical="center"/>
    </xf>
    <xf numFmtId="0" fontId="7" fillId="0" borderId="0" xfId="0" applyFont="1" applyFill="1" applyBorder="1"/>
    <xf numFmtId="171" fontId="7" fillId="0" borderId="0" xfId="0" applyNumberFormat="1" applyFont="1" applyFill="1" applyBorder="1"/>
    <xf numFmtId="0" fontId="16" fillId="6" borderId="13" xfId="0" applyNumberFormat="1" applyFont="1" applyFill="1" applyBorder="1" applyAlignment="1">
      <alignment vertical="center"/>
    </xf>
    <xf numFmtId="171" fontId="16" fillId="6" borderId="15" xfId="0" applyNumberFormat="1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20" fillId="6" borderId="17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5" borderId="11" xfId="0" applyFont="1" applyFill="1" applyBorder="1" applyAlignment="1">
      <alignment vertical="center"/>
    </xf>
    <xf numFmtId="0" fontId="7" fillId="5" borderId="12" xfId="0" applyFont="1" applyFill="1" applyBorder="1" applyAlignment="1">
      <alignment vertical="center"/>
    </xf>
    <xf numFmtId="171" fontId="7" fillId="5" borderId="13" xfId="0" applyNumberFormat="1" applyFont="1" applyFill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171" fontId="18" fillId="5" borderId="15" xfId="0" applyNumberFormat="1" applyFont="1" applyFill="1" applyBorder="1" applyAlignment="1">
      <alignment vertical="center"/>
    </xf>
    <xf numFmtId="0" fontId="7" fillId="5" borderId="16" xfId="0" applyFont="1" applyFill="1" applyBorder="1" applyAlignment="1">
      <alignment vertical="center"/>
    </xf>
    <xf numFmtId="0" fontId="7" fillId="5" borderId="17" xfId="0" applyFont="1" applyFill="1" applyBorder="1" applyAlignment="1">
      <alignment vertical="center"/>
    </xf>
    <xf numFmtId="171" fontId="7" fillId="5" borderId="1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" fontId="7" fillId="5" borderId="13" xfId="0" applyNumberFormat="1" applyFont="1" applyFill="1" applyBorder="1" applyAlignment="1">
      <alignment horizontal="right" vertical="center"/>
    </xf>
    <xf numFmtId="0" fontId="8" fillId="5" borderId="0" xfId="0" applyFont="1" applyFill="1" applyBorder="1" applyAlignment="1">
      <alignment vertical="center"/>
    </xf>
    <xf numFmtId="0" fontId="16" fillId="6" borderId="11" xfId="0" applyFont="1" applyFill="1" applyBorder="1" applyAlignment="1">
      <alignment horizontal="left" vertical="center"/>
    </xf>
    <xf numFmtId="0" fontId="16" fillId="6" borderId="14" xfId="0" applyFont="1" applyFill="1" applyBorder="1" applyAlignment="1">
      <alignment horizontal="left" vertical="center"/>
    </xf>
    <xf numFmtId="0" fontId="22" fillId="6" borderId="0" xfId="0" applyFont="1" applyFill="1" applyBorder="1" applyAlignment="1">
      <alignment horizontal="right" vertical="center"/>
    </xf>
    <xf numFmtId="0" fontId="22" fillId="6" borderId="12" xfId="0" applyFont="1" applyFill="1" applyBorder="1" applyAlignment="1">
      <alignment horizontal="right" vertical="center"/>
    </xf>
    <xf numFmtId="171" fontId="16" fillId="6" borderId="18" xfId="0" applyNumberFormat="1" applyFont="1" applyFill="1" applyBorder="1" applyAlignment="1">
      <alignment vertical="center"/>
    </xf>
    <xf numFmtId="0" fontId="21" fillId="7" borderId="19" xfId="0" applyFont="1" applyFill="1" applyBorder="1" applyAlignment="1">
      <alignment vertical="center"/>
    </xf>
    <xf numFmtId="0" fontId="19" fillId="7" borderId="20" xfId="0" applyFont="1" applyFill="1" applyBorder="1" applyAlignment="1">
      <alignment vertical="center"/>
    </xf>
    <xf numFmtId="171" fontId="21" fillId="7" borderId="21" xfId="0" applyNumberFormat="1" applyFont="1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168" fontId="24" fillId="0" borderId="0" xfId="0" applyNumberFormat="1" applyFont="1" applyFill="1" applyAlignment="1">
      <alignment horizontal="center" vertical="center"/>
    </xf>
    <xf numFmtId="164" fontId="24" fillId="0" borderId="0" xfId="1" applyNumberFormat="1" applyFont="1" applyFill="1" applyAlignment="1">
      <alignment horizontal="center"/>
    </xf>
    <xf numFmtId="165" fontId="24" fillId="0" borderId="0" xfId="0" applyNumberFormat="1" applyFon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0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170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2" fontId="25" fillId="0" borderId="0" xfId="0" applyNumberFormat="1" applyFont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2" fontId="1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6" fillId="2" borderId="0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68" fontId="0" fillId="4" borderId="0" xfId="0" applyNumberForma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/>
    <xf numFmtId="0" fontId="16" fillId="2" borderId="14" xfId="0" applyFont="1" applyFill="1" applyBorder="1" applyAlignment="1">
      <alignment vertical="center"/>
    </xf>
    <xf numFmtId="0" fontId="16" fillId="2" borderId="15" xfId="0" applyFont="1" applyFill="1" applyBorder="1" applyAlignment="1">
      <alignment horizontal="right" vertical="center"/>
    </xf>
    <xf numFmtId="0" fontId="26" fillId="0" borderId="26" xfId="0" applyFont="1" applyBorder="1" applyAlignment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0" fillId="8" borderId="16" xfId="0" applyFill="1" applyBorder="1"/>
    <xf numFmtId="0" fontId="6" fillId="9" borderId="23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24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168" fontId="11" fillId="0" borderId="0" xfId="2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2" fontId="21" fillId="7" borderId="21" xfId="0" applyNumberFormat="1" applyFont="1" applyFill="1" applyBorder="1" applyAlignment="1">
      <alignment vertical="center"/>
    </xf>
    <xf numFmtId="0" fontId="28" fillId="0" borderId="0" xfId="2146" applyFont="1" applyAlignment="1">
      <alignment horizontal="center" vertical="center"/>
    </xf>
    <xf numFmtId="0" fontId="28" fillId="0" borderId="0" xfId="2155" applyFont="1" applyAlignment="1">
      <alignment horizontal="center" vertical="center"/>
    </xf>
    <xf numFmtId="4" fontId="7" fillId="4" borderId="13" xfId="0" applyNumberFormat="1" applyFont="1" applyFill="1" applyBorder="1" applyAlignment="1">
      <alignment horizontal="right" vertical="center"/>
    </xf>
    <xf numFmtId="0" fontId="7" fillId="4" borderId="18" xfId="0" applyFont="1" applyFill="1" applyBorder="1" applyAlignment="1">
      <alignment horizontal="right" vertical="center"/>
    </xf>
    <xf numFmtId="0" fontId="23" fillId="7" borderId="11" xfId="0" applyFont="1" applyFill="1" applyBorder="1" applyAlignment="1">
      <alignment horizontal="center" vertical="center"/>
    </xf>
    <xf numFmtId="0" fontId="23" fillId="7" borderId="12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4" xfId="0" applyFont="1" applyBorder="1"/>
    <xf numFmtId="0" fontId="12" fillId="0" borderId="4" xfId="0" applyFont="1" applyFill="1" applyBorder="1"/>
    <xf numFmtId="0" fontId="0" fillId="0" borderId="5" xfId="0" applyFill="1" applyBorder="1"/>
    <xf numFmtId="0" fontId="29" fillId="7" borderId="11" xfId="0" applyFont="1" applyFill="1" applyBorder="1" applyAlignment="1">
      <alignment horizontal="center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13" xfId="0" applyFont="1" applyFill="1" applyBorder="1" applyAlignment="1">
      <alignment horizontal="center" vertical="center"/>
    </xf>
    <xf numFmtId="0" fontId="0" fillId="0" borderId="10" xfId="0" applyFill="1" applyBorder="1"/>
    <xf numFmtId="0" fontId="29" fillId="7" borderId="1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7" borderId="18" xfId="0" applyFont="1" applyFill="1" applyBorder="1" applyAlignment="1">
      <alignment horizontal="center" vertical="center"/>
    </xf>
    <xf numFmtId="172" fontId="0" fillId="0" borderId="10" xfId="0" applyNumberFormat="1" applyFill="1" applyBorder="1"/>
    <xf numFmtId="0" fontId="12" fillId="0" borderId="0" xfId="0" applyFont="1" applyBorder="1"/>
    <xf numFmtId="0" fontId="30" fillId="0" borderId="0" xfId="3" applyFont="1" applyFill="1" applyBorder="1" applyAlignment="1">
      <alignment horizontal="center" vertical="center"/>
    </xf>
    <xf numFmtId="0" fontId="31" fillId="0" borderId="10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center" vertical="center"/>
    </xf>
    <xf numFmtId="172" fontId="34" fillId="0" borderId="0" xfId="0" applyNumberFormat="1" applyFont="1" applyFill="1" applyBorder="1" applyAlignment="1">
      <alignment horizontal="center" vertical="center"/>
    </xf>
    <xf numFmtId="170" fontId="38" fillId="0" borderId="0" xfId="0" applyNumberFormat="1" applyFont="1" applyFill="1" applyBorder="1" applyAlignment="1">
      <alignment horizontal="center" vertical="center"/>
    </xf>
    <xf numFmtId="14" fontId="38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40" fillId="0" borderId="7" xfId="0" applyFont="1" applyFill="1" applyBorder="1"/>
    <xf numFmtId="171" fontId="40" fillId="0" borderId="7" xfId="0" applyNumberFormat="1" applyFont="1" applyFill="1" applyBorder="1"/>
    <xf numFmtId="0" fontId="12" fillId="0" borderId="7" xfId="0" applyFont="1" applyBorder="1"/>
    <xf numFmtId="170" fontId="38" fillId="0" borderId="7" xfId="0" applyNumberFormat="1" applyFont="1" applyFill="1" applyBorder="1" applyAlignment="1">
      <alignment horizontal="center" vertical="center"/>
    </xf>
    <xf numFmtId="14" fontId="38" fillId="0" borderId="7" xfId="0" applyNumberFormat="1" applyFont="1" applyFill="1" applyBorder="1" applyAlignment="1">
      <alignment horizontal="center" vertical="center"/>
    </xf>
    <xf numFmtId="2" fontId="34" fillId="0" borderId="8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0" fillId="4" borderId="0" xfId="0" applyFont="1" applyFill="1" applyAlignment="1">
      <alignment horizontal="center"/>
    </xf>
    <xf numFmtId="44" fontId="0" fillId="4" borderId="0" xfId="2252" applyFont="1" applyFill="1" applyAlignment="1">
      <alignment horizontal="center"/>
    </xf>
    <xf numFmtId="0" fontId="32" fillId="10" borderId="11" xfId="0" applyFont="1" applyFill="1" applyBorder="1" applyAlignment="1">
      <alignment horizontal="left" vertical="center"/>
    </xf>
    <xf numFmtId="0" fontId="32" fillId="10" borderId="12" xfId="0" applyFont="1" applyFill="1" applyBorder="1" applyAlignment="1">
      <alignment horizontal="left" vertical="center"/>
    </xf>
    <xf numFmtId="0" fontId="32" fillId="10" borderId="13" xfId="0" applyFont="1" applyFill="1" applyBorder="1" applyAlignment="1">
      <alignment horizontal="left" vertical="center"/>
    </xf>
    <xf numFmtId="0" fontId="32" fillId="11" borderId="11" xfId="0" applyFont="1" applyFill="1" applyBorder="1" applyAlignment="1">
      <alignment horizontal="left" vertical="center"/>
    </xf>
    <xf numFmtId="171" fontId="32" fillId="11" borderId="13" xfId="0" applyNumberFormat="1" applyFont="1" applyFill="1" applyBorder="1" applyAlignment="1">
      <alignment horizontal="left" vertical="center"/>
    </xf>
    <xf numFmtId="2" fontId="34" fillId="0" borderId="10" xfId="0" applyNumberFormat="1" applyFont="1" applyFill="1" applyBorder="1" applyAlignment="1">
      <alignment horizontal="left" vertical="center"/>
    </xf>
    <xf numFmtId="0" fontId="34" fillId="0" borderId="0" xfId="0" applyNumberFormat="1" applyFont="1" applyFill="1" applyBorder="1" applyAlignment="1">
      <alignment horizontal="left" vertical="center"/>
    </xf>
    <xf numFmtId="172" fontId="34" fillId="0" borderId="0" xfId="0" applyNumberFormat="1" applyFont="1" applyFill="1" applyBorder="1" applyAlignment="1">
      <alignment horizontal="left" vertical="center"/>
    </xf>
    <xf numFmtId="0" fontId="32" fillId="10" borderId="14" xfId="0" applyFont="1" applyFill="1" applyBorder="1" applyAlignment="1">
      <alignment horizontal="left" vertical="center"/>
    </xf>
    <xf numFmtId="0" fontId="32" fillId="10" borderId="0" xfId="0" applyFont="1" applyFill="1" applyBorder="1" applyAlignment="1">
      <alignment horizontal="left" vertical="center"/>
    </xf>
    <xf numFmtId="0" fontId="32" fillId="10" borderId="15" xfId="0" applyFont="1" applyFill="1" applyBorder="1" applyAlignment="1">
      <alignment horizontal="left" vertical="center"/>
    </xf>
    <xf numFmtId="0" fontId="35" fillId="11" borderId="14" xfId="0" applyFont="1" applyFill="1" applyBorder="1" applyAlignment="1">
      <alignment horizontal="left" vertical="center"/>
    </xf>
    <xf numFmtId="0" fontId="32" fillId="10" borderId="16" xfId="0" applyFont="1" applyFill="1" applyBorder="1" applyAlignment="1">
      <alignment horizontal="left" vertical="center"/>
    </xf>
    <xf numFmtId="0" fontId="32" fillId="10" borderId="17" xfId="0" applyFont="1" applyFill="1" applyBorder="1" applyAlignment="1">
      <alignment horizontal="left" vertical="center"/>
    </xf>
    <xf numFmtId="0" fontId="32" fillId="10" borderId="18" xfId="0" applyFont="1" applyFill="1" applyBorder="1" applyAlignment="1">
      <alignment horizontal="left" vertical="center"/>
    </xf>
    <xf numFmtId="0" fontId="35" fillId="11" borderId="16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32" fillId="11" borderId="19" xfId="0" applyFont="1" applyFill="1" applyBorder="1" applyAlignment="1">
      <alignment horizontal="left" vertical="center"/>
    </xf>
    <xf numFmtId="0" fontId="30" fillId="11" borderId="20" xfId="0" applyFont="1" applyFill="1" applyBorder="1" applyAlignment="1">
      <alignment horizontal="left" vertical="center"/>
    </xf>
    <xf numFmtId="0" fontId="32" fillId="11" borderId="21" xfId="0" applyFont="1" applyFill="1" applyBorder="1" applyAlignment="1">
      <alignment horizontal="left" vertical="center"/>
    </xf>
    <xf numFmtId="0" fontId="36" fillId="7" borderId="19" xfId="0" applyFont="1" applyFill="1" applyBorder="1" applyAlignment="1">
      <alignment horizontal="left" vertical="center"/>
    </xf>
    <xf numFmtId="171" fontId="36" fillId="7" borderId="21" xfId="0" applyNumberFormat="1" applyFont="1" applyFill="1" applyBorder="1" applyAlignment="1">
      <alignment horizontal="left" vertical="center"/>
    </xf>
    <xf numFmtId="170" fontId="38" fillId="0" borderId="0" xfId="0" applyNumberFormat="1" applyFont="1" applyFill="1" applyBorder="1" applyAlignment="1">
      <alignment horizontal="left" vertical="center"/>
    </xf>
    <xf numFmtId="14" fontId="38" fillId="0" borderId="0" xfId="0" applyNumberFormat="1" applyFont="1" applyFill="1" applyBorder="1" applyAlignment="1">
      <alignment horizontal="left" vertical="center"/>
    </xf>
    <xf numFmtId="0" fontId="39" fillId="12" borderId="11" xfId="0" applyFont="1" applyFill="1" applyBorder="1" applyAlignment="1">
      <alignment horizontal="left" vertical="center"/>
    </xf>
    <xf numFmtId="0" fontId="39" fillId="12" borderId="12" xfId="0" applyFont="1" applyFill="1" applyBorder="1" applyAlignment="1">
      <alignment horizontal="left" vertical="center"/>
    </xf>
    <xf numFmtId="171" fontId="39" fillId="12" borderId="12" xfId="0" applyNumberFormat="1" applyFont="1" applyFill="1" applyBorder="1" applyAlignment="1">
      <alignment horizontal="left" vertical="center"/>
    </xf>
    <xf numFmtId="0" fontId="40" fillId="0" borderId="11" xfId="0" applyFont="1" applyFill="1" applyBorder="1" applyAlignment="1">
      <alignment horizontal="left" vertical="center"/>
    </xf>
    <xf numFmtId="0" fontId="40" fillId="0" borderId="12" xfId="0" applyFont="1" applyFill="1" applyBorder="1" applyAlignment="1">
      <alignment horizontal="left" vertical="center"/>
    </xf>
    <xf numFmtId="171" fontId="40" fillId="0" borderId="13" xfId="0" applyNumberFormat="1" applyFont="1" applyFill="1" applyBorder="1" applyAlignment="1">
      <alignment horizontal="left" vertical="center"/>
    </xf>
    <xf numFmtId="0" fontId="41" fillId="12" borderId="14" xfId="0" applyFont="1" applyFill="1" applyBorder="1" applyAlignment="1">
      <alignment horizontal="left" vertical="center"/>
    </xf>
    <xf numFmtId="0" fontId="40" fillId="0" borderId="14" xfId="0" applyFont="1" applyFill="1" applyBorder="1" applyAlignment="1">
      <alignment horizontal="left" vertical="center"/>
    </xf>
    <xf numFmtId="171" fontId="42" fillId="0" borderId="15" xfId="0" quotePrefix="1" applyNumberFormat="1" applyFont="1" applyFill="1" applyBorder="1" applyAlignment="1">
      <alignment horizontal="left" vertical="center"/>
    </xf>
    <xf numFmtId="0" fontId="39" fillId="12" borderId="16" xfId="0" applyFont="1" applyFill="1" applyBorder="1" applyAlignment="1">
      <alignment horizontal="left" vertical="center"/>
    </xf>
    <xf numFmtId="0" fontId="39" fillId="12" borderId="17" xfId="0" applyFont="1" applyFill="1" applyBorder="1" applyAlignment="1">
      <alignment horizontal="left" vertical="center"/>
    </xf>
    <xf numFmtId="171" fontId="39" fillId="12" borderId="17" xfId="0" applyNumberFormat="1" applyFont="1" applyFill="1" applyBorder="1" applyAlignment="1">
      <alignment horizontal="left" vertical="center"/>
    </xf>
    <xf numFmtId="0" fontId="40" fillId="0" borderId="16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/>
    </xf>
    <xf numFmtId="171" fontId="40" fillId="0" borderId="18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3" fillId="11" borderId="12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36" fillId="7" borderId="20" xfId="0" applyFont="1" applyFill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42" fillId="12" borderId="0" xfId="0" applyFont="1" applyFill="1" applyBorder="1" applyAlignment="1">
      <alignment horizontal="left" vertical="center"/>
    </xf>
    <xf numFmtId="171" fontId="42" fillId="12" borderId="0" xfId="0" quotePrefix="1" applyNumberFormat="1" applyFont="1" applyFill="1" applyBorder="1" applyAlignment="1">
      <alignment horizontal="right" vertical="center"/>
    </xf>
    <xf numFmtId="0" fontId="43" fillId="11" borderId="0" xfId="0" applyFont="1" applyFill="1" applyBorder="1" applyAlignment="1">
      <alignment horizontal="left" vertical="center"/>
    </xf>
    <xf numFmtId="0" fontId="43" fillId="11" borderId="17" xfId="0" applyFont="1" applyFill="1" applyBorder="1" applyAlignment="1">
      <alignment horizontal="left" vertical="center"/>
    </xf>
    <xf numFmtId="0" fontId="43" fillId="11" borderId="15" xfId="0" applyNumberFormat="1" applyFont="1" applyFill="1" applyBorder="1" applyAlignment="1">
      <alignment horizontal="right" vertical="center"/>
    </xf>
    <xf numFmtId="171" fontId="43" fillId="11" borderId="15" xfId="0" applyNumberFormat="1" applyFont="1" applyFill="1" applyBorder="1" applyAlignment="1">
      <alignment horizontal="right" vertical="center"/>
    </xf>
    <xf numFmtId="171" fontId="43" fillId="11" borderId="18" xfId="0" applyNumberFormat="1" applyFont="1" applyFill="1" applyBorder="1" applyAlignment="1">
      <alignment horizontal="right" vertical="center"/>
    </xf>
    <xf numFmtId="171" fontId="16" fillId="5" borderId="15" xfId="0" applyNumberFormat="1" applyFont="1" applyFill="1" applyBorder="1" applyAlignment="1">
      <alignment horizontal="right" vertical="center"/>
    </xf>
    <xf numFmtId="171" fontId="16" fillId="5" borderId="18" xfId="0" applyNumberFormat="1" applyFont="1" applyFill="1" applyBorder="1" applyAlignment="1">
      <alignment horizontal="right" vertical="center"/>
    </xf>
    <xf numFmtId="170" fontId="15" fillId="0" borderId="16" xfId="0" applyNumberFormat="1" applyFont="1" applyBorder="1" applyAlignment="1">
      <alignment horizontal="center" vertical="center"/>
    </xf>
    <xf numFmtId="14" fontId="15" fillId="0" borderId="17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15" fillId="0" borderId="17" xfId="0" applyNumberFormat="1" applyFont="1" applyBorder="1" applyAlignment="1">
      <alignment horizontal="center" vertical="center"/>
    </xf>
    <xf numFmtId="172" fontId="15" fillId="0" borderId="18" xfId="0" applyNumberFormat="1" applyFont="1" applyBorder="1" applyAlignment="1">
      <alignment horizontal="center" vertical="center"/>
    </xf>
    <xf numFmtId="0" fontId="17" fillId="3" borderId="19" xfId="3" applyFont="1" applyFill="1" applyBorder="1" applyAlignment="1">
      <alignment horizontal="center" vertical="center"/>
    </xf>
    <xf numFmtId="0" fontId="17" fillId="3" borderId="20" xfId="3" applyFont="1" applyFill="1" applyBorder="1" applyAlignment="1">
      <alignment horizontal="center" vertical="center"/>
    </xf>
    <xf numFmtId="0" fontId="17" fillId="3" borderId="21" xfId="3" applyFont="1" applyFill="1" applyBorder="1" applyAlignment="1">
      <alignment horizontal="center" vertical="center"/>
    </xf>
  </cellXfs>
  <cellStyles count="2327">
    <cellStyle name="Comma" xfId="1" builtinId="3"/>
    <cellStyle name="Currency" xfId="2252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8" builtinId="9" hidden="1"/>
    <cellStyle name="Followed Hyperlink" xfId="2150" builtinId="9" hidden="1"/>
    <cellStyle name="Followed Hyperlink" xfId="2152" builtinId="9" hidden="1"/>
    <cellStyle name="Followed Hyperlink" xfId="2154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1" builtinId="9" hidden="1"/>
    <cellStyle name="Followed Hyperlink" xfId="2203" builtinId="9" hidden="1"/>
    <cellStyle name="Followed Hyperlink" xfId="2205" builtinId="9" hidden="1"/>
    <cellStyle name="Followed Hyperlink" xfId="2207" builtinId="9" hidden="1"/>
    <cellStyle name="Followed Hyperlink" xfId="2209" builtinId="9" hidden="1"/>
    <cellStyle name="Followed Hyperlink" xfId="2211" builtinId="9" hidden="1"/>
    <cellStyle name="Followed Hyperlink" xfId="2213" builtinId="9" hidden="1"/>
    <cellStyle name="Followed Hyperlink" xfId="2215" builtinId="9" hidden="1"/>
    <cellStyle name="Followed Hyperlink" xfId="2217" builtinId="9" hidden="1"/>
    <cellStyle name="Followed Hyperlink" xfId="2219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4" builtinId="9" hidden="1"/>
    <cellStyle name="Followed Hyperlink" xfId="2256" builtinId="9" hidden="1"/>
    <cellStyle name="Followed Hyperlink" xfId="2258" builtinId="9" hidden="1"/>
    <cellStyle name="Followed Hyperlink" xfId="2260" builtinId="9" hidden="1"/>
    <cellStyle name="Followed Hyperlink" xfId="2262" builtinId="9" hidden="1"/>
    <cellStyle name="Followed Hyperlink" xfId="2264" builtinId="9" hidden="1"/>
    <cellStyle name="Followed Hyperlink" xfId="2266" builtinId="9" hidden="1"/>
    <cellStyle name="Followed Hyperlink" xfId="2268" builtinId="9" hidden="1"/>
    <cellStyle name="Followed Hyperlink" xfId="2270" builtinId="9" hidden="1"/>
    <cellStyle name="Followed Hyperlink" xfId="2272" builtinId="9" hidden="1"/>
    <cellStyle name="Followed Hyperlink" xfId="2274" builtinId="9" hidden="1"/>
    <cellStyle name="Followed Hyperlink" xfId="2276" builtinId="9" hidden="1"/>
    <cellStyle name="Followed Hyperlink" xfId="2278" builtinId="9" hidden="1"/>
    <cellStyle name="Followed Hyperlink" xfId="2280" builtinId="9" hidden="1"/>
    <cellStyle name="Followed Hyperlink" xfId="2282" builtinId="9" hidden="1"/>
    <cellStyle name="Followed Hyperlink" xfId="2284" builtinId="9" hidden="1"/>
    <cellStyle name="Followed Hyperlink" xfId="2286" builtinId="9" hidden="1"/>
    <cellStyle name="Followed Hyperlink" xfId="2288" builtinId="9" hidden="1"/>
    <cellStyle name="Followed Hyperlink" xfId="2290" builtinId="9" hidden="1"/>
    <cellStyle name="Followed Hyperlink" xfId="2292" builtinId="9" hidden="1"/>
    <cellStyle name="Followed Hyperlink" xfId="2294" builtinId="9" hidden="1"/>
    <cellStyle name="Followed Hyperlink" xfId="2296" builtinId="9" hidden="1"/>
    <cellStyle name="Followed Hyperlink" xfId="2298" builtinId="9" hidden="1"/>
    <cellStyle name="Followed Hyperlink" xfId="2300" builtinId="9" hidden="1"/>
    <cellStyle name="Followed Hyperlink" xfId="2302" builtinId="9" hidden="1"/>
    <cellStyle name="Followed Hyperlink" xfId="2304" builtinId="9" hidden="1"/>
    <cellStyle name="Followed Hyperlink" xfId="2306" builtinId="9" hidden="1"/>
    <cellStyle name="Followed Hyperlink" xfId="2308" builtinId="9" hidden="1"/>
    <cellStyle name="Followed Hyperlink" xfId="2310" builtinId="9" hidden="1"/>
    <cellStyle name="Followed Hyperlink" xfId="2312" builtinId="9" hidden="1"/>
    <cellStyle name="Followed Hyperlink" xfId="2314" builtinId="9" hidden="1"/>
    <cellStyle name="Followed Hyperlink" xfId="2316" builtinId="9" hidden="1"/>
    <cellStyle name="Followed Hyperlink" xfId="2318" builtinId="9" hidden="1"/>
    <cellStyle name="Followed Hyperlink" xfId="2320" builtinId="9" hidden="1"/>
    <cellStyle name="Followed Hyperlink" xfId="2322" builtinId="9" hidden="1"/>
    <cellStyle name="Followed Hyperlink" xfId="2324" builtinId="9" hidden="1"/>
    <cellStyle name="Followed Hyperlink" xfId="2326" builtinId="9" hidden="1"/>
    <cellStyle name="Heading 1" xfId="2" builtinId="16"/>
    <cellStyle name="Heading 2" xfId="3" builtinId="17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7" builtinId="8" hidden="1"/>
    <cellStyle name="Hyperlink" xfId="2149" builtinId="8" hidden="1"/>
    <cellStyle name="Hyperlink" xfId="2151" builtinId="8" hidden="1"/>
    <cellStyle name="Hyperlink" xfId="2153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0" builtinId="8" hidden="1"/>
    <cellStyle name="Hyperlink" xfId="2202" builtinId="8" hidden="1"/>
    <cellStyle name="Hyperlink" xfId="2204" builtinId="8" hidden="1"/>
    <cellStyle name="Hyperlink" xfId="2206" builtinId="8" hidden="1"/>
    <cellStyle name="Hyperlink" xfId="2208" builtinId="8" hidden="1"/>
    <cellStyle name="Hyperlink" xfId="2210" builtinId="8" hidden="1"/>
    <cellStyle name="Hyperlink" xfId="2212" builtinId="8" hidden="1"/>
    <cellStyle name="Hyperlink" xfId="2214" builtinId="8" hidden="1"/>
    <cellStyle name="Hyperlink" xfId="2216" builtinId="8" hidden="1"/>
    <cellStyle name="Hyperlink" xfId="2218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3" builtinId="8" hidden="1"/>
    <cellStyle name="Hyperlink" xfId="2255" builtinId="8" hidden="1"/>
    <cellStyle name="Hyperlink" xfId="2257" builtinId="8" hidden="1"/>
    <cellStyle name="Hyperlink" xfId="2259" builtinId="8" hidden="1"/>
    <cellStyle name="Hyperlink" xfId="2261" builtinId="8" hidden="1"/>
    <cellStyle name="Hyperlink" xfId="2263" builtinId="8" hidden="1"/>
    <cellStyle name="Hyperlink" xfId="2265" builtinId="8" hidden="1"/>
    <cellStyle name="Hyperlink" xfId="2267" builtinId="8" hidden="1"/>
    <cellStyle name="Hyperlink" xfId="2269" builtinId="8" hidden="1"/>
    <cellStyle name="Hyperlink" xfId="2271" builtinId="8" hidden="1"/>
    <cellStyle name="Hyperlink" xfId="2273" builtinId="8" hidden="1"/>
    <cellStyle name="Hyperlink" xfId="2275" builtinId="8" hidden="1"/>
    <cellStyle name="Hyperlink" xfId="2277" builtinId="8" hidden="1"/>
    <cellStyle name="Hyperlink" xfId="2279" builtinId="8" hidden="1"/>
    <cellStyle name="Hyperlink" xfId="2281" builtinId="8" hidden="1"/>
    <cellStyle name="Hyperlink" xfId="2283" builtinId="8" hidden="1"/>
    <cellStyle name="Hyperlink" xfId="2285" builtinId="8" hidden="1"/>
    <cellStyle name="Hyperlink" xfId="2287" builtinId="8" hidden="1"/>
    <cellStyle name="Hyperlink" xfId="2289" builtinId="8" hidden="1"/>
    <cellStyle name="Hyperlink" xfId="2291" builtinId="8" hidden="1"/>
    <cellStyle name="Hyperlink" xfId="2293" builtinId="8" hidden="1"/>
    <cellStyle name="Hyperlink" xfId="2295" builtinId="8" hidden="1"/>
    <cellStyle name="Hyperlink" xfId="2297" builtinId="8" hidden="1"/>
    <cellStyle name="Hyperlink" xfId="2299" builtinId="8" hidden="1"/>
    <cellStyle name="Hyperlink" xfId="2301" builtinId="8" hidden="1"/>
    <cellStyle name="Hyperlink" xfId="2303" builtinId="8" hidden="1"/>
    <cellStyle name="Hyperlink" xfId="2305" builtinId="8" hidden="1"/>
    <cellStyle name="Hyperlink" xfId="2307" builtinId="8" hidden="1"/>
    <cellStyle name="Hyperlink" xfId="2309" builtinId="8" hidden="1"/>
    <cellStyle name="Hyperlink" xfId="2311" builtinId="8" hidden="1"/>
    <cellStyle name="Hyperlink" xfId="2313" builtinId="8" hidden="1"/>
    <cellStyle name="Hyperlink" xfId="2315" builtinId="8" hidden="1"/>
    <cellStyle name="Hyperlink" xfId="2317" builtinId="8" hidden="1"/>
    <cellStyle name="Hyperlink" xfId="2319" builtinId="8" hidden="1"/>
    <cellStyle name="Hyperlink" xfId="2321" builtinId="8" hidden="1"/>
    <cellStyle name="Hyperlink" xfId="2323" builtinId="8" hidden="1"/>
    <cellStyle name="Hyperlink" xfId="2325" builtinId="8" hidden="1"/>
    <cellStyle name="Normal" xfId="0" builtinId="0"/>
    <cellStyle name="Normal_ANNEE" xfId="2146"/>
    <cellStyle name="Normal_PARCELLAIRE" xfId="215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CULTURE'!$I$53,'FOCUS CULTURE'!$I$55,'FOCUS CULTURE'!$I$57,'FOCUS CULTURE'!$I$59,'FOCUS CULTURE'!$I$61)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CULTURE'!$E$15:$E$19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CULTURE'!$F$15:$F$19</c:f>
              <c:numCache>
                <c:formatCode>[$€-2]\ #,##0</c:formatCode>
                <c:ptCount val="5"/>
                <c:pt idx="0">
                  <c:v>1014.289623529412</c:v>
                </c:pt>
                <c:pt idx="1">
                  <c:v>1128.032035714286</c:v>
                </c:pt>
                <c:pt idx="2">
                  <c:v>262.170322826087</c:v>
                </c:pt>
                <c:pt idx="3">
                  <c:v>530.4058199999999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673540074353"/>
          <c:y val="0.0793723029695105"/>
          <c:w val="0.388695822846191"/>
          <c:h val="0.755482699734532"/>
        </c:manualLayout>
      </c:layout>
      <c:pieChart>
        <c:varyColors val="1"/>
        <c:ser>
          <c:idx val="1"/>
          <c:order val="0"/>
          <c:spPr>
            <a:gradFill rotWithShape="0">
              <a:gsLst>
                <a:gs pos="0">
                  <a:srgbClr val="D1403C"/>
                </a:gs>
                <a:gs pos="100000">
                  <a:srgbClr val="FF9A99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explosion val="3"/>
          <c:dPt>
            <c:idx val="0"/>
            <c:bubble3D val="0"/>
            <c:spPr>
              <a:gradFill rotWithShape="0">
                <a:gsLst>
                  <a:gs pos="0">
                    <a:srgbClr val="3F80CD"/>
                  </a:gs>
                  <a:gs pos="100000">
                    <a:srgbClr val="9BC1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</c:dPt>
          <c:dPt>
            <c:idx val="2"/>
            <c:bubble3D val="0"/>
            <c:spPr>
              <a:gradFill rotWithShape="0">
                <a:gsLst>
                  <a:gs pos="0">
                    <a:srgbClr val="A0CA4A"/>
                  </a:gs>
                  <a:gs pos="100000">
                    <a:srgbClr val="DCFFA0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7F5BAB"/>
                  </a:gs>
                  <a:gs pos="100000">
                    <a:srgbClr val="C8B0ED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39B7D8"/>
                  </a:gs>
                  <a:gs pos="100000">
                    <a:srgbClr val="95EE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'[1]FOCUS CULTURE'!$D$14:$D$18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'[1]FOCUS CULTURE'!$E$14:$E$18</c:f>
              <c:numCache>
                <c:formatCode>[$€-2]\ #,##0</c:formatCode>
                <c:ptCount val="5"/>
                <c:pt idx="0">
                  <c:v>837.98</c:v>
                </c:pt>
                <c:pt idx="1">
                  <c:v>3213.253888</c:v>
                </c:pt>
                <c:pt idx="2">
                  <c:v>212.7047282608696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9126429862919"/>
          <c:y val="0.173661049886789"/>
          <c:w val="0.392228432203401"/>
          <c:h val="0.730263157894737"/>
        </c:manualLayout>
      </c:layout>
      <c:overlay val="0"/>
      <c:spPr>
        <a:noFill/>
        <a:ln w="25400">
          <a:noFill/>
        </a:ln>
      </c:spPr>
      <c:txPr>
        <a:bodyPr/>
        <a:lstStyle/>
        <a:p>
          <a:pPr rtl="0">
            <a:defRPr sz="14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zero"/>
    <c:showDLblsOverMax val="0"/>
  </c:chart>
  <c:spPr>
    <a:noFill/>
    <a:ln w="9525">
      <a:noFill/>
    </a:ln>
  </c:sp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layout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PARCELLE'!$I$54,'FOCUS PARCELLE'!$I$56,'FOCUS PARCELLE'!$I$58,'FOCUS PARCELLE'!$I$60,'FOCUS PARCELLE'!$I$62)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PARCELLE'!$E$15:$E$19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PARCELLE'!$F$15:$F$19</c:f>
              <c:numCache>
                <c:formatCode>[$€-2]\ #,##0</c:formatCode>
                <c:ptCount val="5"/>
                <c:pt idx="0">
                  <c:v>1932.263775</c:v>
                </c:pt>
                <c:pt idx="1">
                  <c:v>7756.643504638218</c:v>
                </c:pt>
                <c:pt idx="2">
                  <c:v>2021.382128152174</c:v>
                </c:pt>
                <c:pt idx="3">
                  <c:v>1356.5056284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49</xdr:row>
      <xdr:rowOff>12700</xdr:rowOff>
    </xdr:from>
    <xdr:to>
      <xdr:col>15</xdr:col>
      <xdr:colOff>101600</xdr:colOff>
      <xdr:row>67</xdr:row>
      <xdr:rowOff>12700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20</xdr:row>
      <xdr:rowOff>271640</xdr:rowOff>
    </xdr:from>
    <xdr:to>
      <xdr:col>6</xdr:col>
      <xdr:colOff>410633</xdr:colOff>
      <xdr:row>27</xdr:row>
      <xdr:rowOff>169333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52210</xdr:colOff>
      <xdr:row>13</xdr:row>
      <xdr:rowOff>39511</xdr:rowOff>
    </xdr:from>
    <xdr:to>
      <xdr:col>8</xdr:col>
      <xdr:colOff>1485899</xdr:colOff>
      <xdr:row>19</xdr:row>
      <xdr:rowOff>221545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50</xdr:row>
      <xdr:rowOff>12700</xdr:rowOff>
    </xdr:from>
    <xdr:to>
      <xdr:col>15</xdr:col>
      <xdr:colOff>101600</xdr:colOff>
      <xdr:row>68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21</xdr:row>
      <xdr:rowOff>271640</xdr:rowOff>
    </xdr:from>
    <xdr:to>
      <xdr:col>6</xdr:col>
      <xdr:colOff>410633</xdr:colOff>
      <xdr:row>28</xdr:row>
      <xdr:rowOff>169333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esktop/champs%20b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CUS CULTURE"/>
      <sheetName val="FOCUS PARCELLE"/>
      <sheetName val="UTILISATIONS"/>
      <sheetName val="PARCELLAIRE"/>
      <sheetName val="ACHATS"/>
      <sheetName val="COUT MOYEN"/>
      <sheetName val="VARIETE"/>
      <sheetName val="ANNEE"/>
    </sheetNames>
    <sheetDataSet>
      <sheetData sheetId="0">
        <row r="14">
          <cell r="D14" t="str">
            <v>SEMENCES</v>
          </cell>
          <cell r="E14">
            <v>837.9799999999999</v>
          </cell>
        </row>
        <row r="15">
          <cell r="D15" t="str">
            <v>ENGRAIS</v>
          </cell>
          <cell r="E15">
            <v>3213.2538880000002</v>
          </cell>
        </row>
        <row r="16">
          <cell r="D16" t="str">
            <v>DESHERBANT</v>
          </cell>
          <cell r="E16">
            <v>212.70472826086959</v>
          </cell>
        </row>
        <row r="17">
          <cell r="D17" t="str">
            <v>FONGICIDES</v>
          </cell>
          <cell r="E17">
            <v>0</v>
          </cell>
        </row>
        <row r="18">
          <cell r="D18" t="str">
            <v>INSECTICIDE</v>
          </cell>
          <cell r="E18">
            <v>0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A2" t="str">
            <v>SOLEIHO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1:S84"/>
  <sheetViews>
    <sheetView showGridLines="0" topLeftCell="C2" zoomScale="90" zoomScaleNormal="90" zoomScalePageLayoutView="90" workbookViewId="0">
      <selection activeCell="S7" sqref="S7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13.33203125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7.5" bestFit="1" customWidth="1"/>
    <col min="18" max="18" width="10.83203125" customWidth="1"/>
  </cols>
  <sheetData>
    <row r="1" spans="2:19" ht="16" thickBot="1"/>
    <row r="2" spans="2:19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9">
      <c r="B3" s="46"/>
      <c r="C3" s="138" t="s">
        <v>105</v>
      </c>
      <c r="D3" s="139"/>
      <c r="E3" s="139"/>
      <c r="F3" s="139"/>
      <c r="G3" s="140"/>
      <c r="H3" s="14"/>
      <c r="I3" s="14"/>
      <c r="J3" s="14"/>
      <c r="K3" s="14"/>
      <c r="L3" s="14"/>
      <c r="M3" s="14"/>
      <c r="N3" s="14"/>
      <c r="O3" s="47"/>
      <c r="P3" s="14"/>
    </row>
    <row r="4" spans="2:19" ht="11" customHeight="1">
      <c r="B4" s="46"/>
      <c r="C4" s="141"/>
      <c r="D4" s="142"/>
      <c r="E4" s="142"/>
      <c r="F4" s="142"/>
      <c r="G4" s="143"/>
      <c r="H4" s="14"/>
      <c r="I4" s="14"/>
      <c r="J4" s="14"/>
      <c r="K4" s="14"/>
      <c r="L4" s="57"/>
      <c r="M4" s="14"/>
      <c r="N4" s="14"/>
      <c r="O4" s="47"/>
      <c r="P4" s="14"/>
    </row>
    <row r="5" spans="2:19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9" ht="23" customHeight="1" thickBot="1">
      <c r="B6" s="46"/>
      <c r="C6" s="23"/>
      <c r="D6" s="24"/>
      <c r="E6" s="24"/>
      <c r="F6" s="24"/>
      <c r="G6" s="25"/>
      <c r="H6" s="14"/>
      <c r="I6" s="52" t="s">
        <v>0</v>
      </c>
      <c r="J6" s="53" t="s">
        <v>99</v>
      </c>
      <c r="K6" s="53" t="s">
        <v>3</v>
      </c>
      <c r="L6" s="53" t="s">
        <v>104</v>
      </c>
      <c r="M6" s="53" t="s">
        <v>100</v>
      </c>
      <c r="N6" s="54" t="s">
        <v>101</v>
      </c>
      <c r="O6" s="47"/>
      <c r="P6" s="14"/>
      <c r="Q6" s="122" t="s">
        <v>46</v>
      </c>
      <c r="R6" s="122" t="s">
        <v>48</v>
      </c>
      <c r="S6" s="122" t="s">
        <v>61</v>
      </c>
    </row>
    <row r="7" spans="2:19" ht="23" customHeight="1" thickTop="1">
      <c r="B7" s="46"/>
      <c r="C7" s="26"/>
      <c r="D7" s="64" t="s">
        <v>1</v>
      </c>
      <c r="E7" s="65"/>
      <c r="F7" s="66">
        <v>2013</v>
      </c>
      <c r="G7" s="27"/>
      <c r="H7" s="14"/>
      <c r="I7" s="42">
        <f t="array" aca="1" ref="I7" ca="1">IF(ROW($A1)&gt;COUNTIF(COLN,WHERE),"",INDEX(DATE,SMALL(IF(COLN=WHERE,ROW(COLN)-1,""),ROW($A1))))</f>
        <v>41205</v>
      </c>
      <c r="J7" s="38" t="str">
        <f t="array" aca="1" ref="J7" ca="1">IF(ROW($A1)&gt;COUNTIF(COLN,WHERE),"",INDEX(categorie,SMALL(IF(COLN=WHERE,ROW(COLN)-1,""),ROW($A1))))</f>
        <v>DESHERBANT</v>
      </c>
      <c r="K7" s="38" t="str">
        <f t="array" aca="1" ref="K7" ca="1">IF(ROW($A1)&gt;COUNTIF(COLN,WHERE),"",INDEX(PRODUIT,SMALL(IF(COLN=WHERE,ROW(COLN)-1,""),ROW($A1))))</f>
        <v>Glyphosate</v>
      </c>
      <c r="L7" s="56">
        <f t="array" aca="1" ref="L7" ca="1">IF(ROW($A1)&gt;COUNTIF(COLN,WHERE),"",INDEX(NB.HA,SMALL(IF(COLN=WHERE,ROW(COLN)-1,""),ROW($A1))))</f>
        <v>5.67</v>
      </c>
      <c r="M7" s="39">
        <f t="array" aca="1" ref="M7" ca="1">IF(ROW($A1)&gt;COUNTIF(COLN,WHERE),"",INDEX(QTE.HA,SMALL(IF(COLN=WHERE,ROW(COLN)-1,""),ROW($A1))))</f>
        <v>1</v>
      </c>
      <c r="N7" s="55">
        <f t="array" aca="1" ref="N7" ca="1">IF(ROW($A1)&gt;COUNTIF(COLN,WHERE),"",INDEX(MONTANT,SMALL(IF(COLN=WHERE,ROW(COLN)-1,""),ROW($A1))))</f>
        <v>27.999322826086956</v>
      </c>
      <c r="O7" s="47"/>
      <c r="P7" s="14"/>
      <c r="Q7" s="129">
        <f t="array" aca="1" ref="Q7:Q9" ca="1">IFERROR(SMALL(IF(MATCH(Col_Annee,Col_Annee,0)=ROW(Col_Annee)-1,Col_Annee),ROW(Col_Annee)-1),"")</f>
        <v>2013</v>
      </c>
      <c r="R7" s="123" t="str">
        <f t="array" aca="1" ref="R7:R17" ca="1">IFERROR(INDEX(Col_Culture,MATCH(SMALL(IF(MATCH(Col_Annee&amp;Col_Culture,Col_Annee&amp;Col_Culture,0)=ROW(Col_Annee)-1,IF(Col_Annee=F7,COUNTIF(Col_Culture,"&lt;"&amp;Col_Culture))),ROW(Col_Annee)-1),IF(Col_Annee=F7,COUNTIF(Col_Culture,"&lt;"&amp;Col_Culture)),0)),"")</f>
        <v xml:space="preserve">BLE DUR </v>
      </c>
      <c r="S7" s="126" t="str">
        <f t="array" aca="1" ref="S7:S27" ca="1">IFERROR(SMALL(IF((Col_Annee=F7)*(Col_Culture=F8),Col_Parcelle),ROW(Col_Annee)-1),"")</f>
        <v/>
      </c>
    </row>
    <row r="8" spans="2:19" ht="23" customHeight="1">
      <c r="B8" s="46"/>
      <c r="C8" s="26"/>
      <c r="D8" s="120" t="s">
        <v>48</v>
      </c>
      <c r="E8" s="115"/>
      <c r="F8" s="121" t="s">
        <v>77</v>
      </c>
      <c r="G8" s="27"/>
      <c r="H8" s="14"/>
      <c r="I8" s="42">
        <f t="array" aca="1" ref="I8" ca="1">IF(ROW($A2)&gt;COUNTIF(COLN,WHERE),"",INDEX(DATE,SMALL(IF(COLN=WHERE,ROW(COLN)-1,""),ROW($A2))))</f>
        <v>41205</v>
      </c>
      <c r="J8" s="38" t="str">
        <f t="array" aca="1" ref="J8" ca="1">IF(ROW($A2)&gt;COUNTIF(COLN,WHERE),"",INDEX(categorie,SMALL(IF(COLN=WHERE,ROW(COLN)-1,""),ROW($A2))))</f>
        <v>DIVERS</v>
      </c>
      <c r="K8" s="38" t="str">
        <f t="array" aca="1" ref="K8" ca="1">IF(ROW($A2)&gt;COUNTIF(COLN,WHERE),"",INDEX(PRODUIT,SMALL(IF(COLN=WHERE,ROW(COLN)-1,""),ROW($A2))))</f>
        <v>Heliosol</v>
      </c>
      <c r="L8" s="56">
        <f t="array" aca="1" ref="L8" ca="1">IF(ROW($A2)&gt;COUNTIF(COLN,WHERE),"",INDEX(NB.HA,SMALL(IF(COLN=WHERE,ROW(COLN)-1,""),ROW($A2))))</f>
        <v>5.67</v>
      </c>
      <c r="M8" s="39">
        <f t="array" aca="1" ref="M8" ca="1">IF(ROW($A2)&gt;COUNTIF(COLN,WHERE),"",INDEX(QTE.HA,SMALL(IF(COLN=WHERE,ROW(COLN)-1,""),ROW($A2))))</f>
        <v>0.2</v>
      </c>
      <c r="N8" s="55">
        <f t="array" aca="1" ref="N8" ca="1">IF(ROW($A2)&gt;COUNTIF(COLN,WHERE),"",INDEX(MONTANT,SMALL(IF(COLN=WHERE,ROW(COLN)-1,""),ROW($A2))))</f>
        <v>12.485340000000001</v>
      </c>
      <c r="O8" s="47"/>
      <c r="P8" s="14"/>
      <c r="Q8" s="130">
        <f ca="1"/>
        <v>2014</v>
      </c>
      <c r="R8" s="124" t="str">
        <f ca="1"/>
        <v>BLE TENDRE</v>
      </c>
      <c r="S8" s="127" t="str">
        <f ca="1"/>
        <v/>
      </c>
    </row>
    <row r="9" spans="2:19" ht="23" customHeight="1">
      <c r="B9" s="46"/>
      <c r="C9" s="26"/>
      <c r="D9" s="67" t="s">
        <v>61</v>
      </c>
      <c r="E9" s="68"/>
      <c r="F9" s="69" t="s">
        <v>147</v>
      </c>
      <c r="G9" s="27"/>
      <c r="H9" s="14"/>
      <c r="I9" s="42">
        <f t="array" aca="1" ref="I9" ca="1">IF(ROW($A3)&gt;COUNTIF(COLN,WHERE),"",INDEX(DATE,SMALL(IF(COLN=WHERE,ROW(COLN)-1,""),ROW($A3))))</f>
        <v>41207</v>
      </c>
      <c r="J9" s="38" t="str">
        <f t="array" aca="1" ref="J9" ca="1">IF(ROW($A3)&gt;COUNTIF(COLN,WHERE),"",INDEX(categorie,SMALL(IF(COLN=WHERE,ROW(COLN)-1,""),ROW($A3))))</f>
        <v>SEMENCES</v>
      </c>
      <c r="K9" s="38" t="str">
        <f t="array" aca="1" ref="K9" ca="1">IF(ROW($A3)&gt;COUNTIF(COLN,WHERE),"",INDEX(PRODUIT,SMALL(IF(COLN=WHERE,ROW(COLN)-1,""),ROW($A3))))</f>
        <v>Miradoux</v>
      </c>
      <c r="L9" s="56">
        <f t="array" aca="1" ref="L9" ca="1">IF(ROW($A3)&gt;COUNTIF(COLN,WHERE),"",INDEX(NB.HA,SMALL(IF(COLN=WHERE,ROW(COLN)-1,""),ROW($A3))))</f>
        <v>5.67</v>
      </c>
      <c r="M9" s="39">
        <f t="array" aca="1" ref="M9" ca="1">IF(ROW($A3)&gt;COUNTIF(COLN,WHERE),"",INDEX(QTE.HA,SMALL(IF(COLN=WHERE,ROW(COLN)-1,""),ROW($A3))))</f>
        <v>168</v>
      </c>
      <c r="N9" s="55">
        <f t="array" aca="1" ref="N9" ca="1">IF(ROW($A3)&gt;COUNTIF(COLN,WHERE),"",INDEX(MONTANT,SMALL(IF(COLN=WHERE,ROW(COLN)-1,""),ROW($A3))))</f>
        <v>247.47882352941178</v>
      </c>
      <c r="O9" s="47"/>
      <c r="P9" s="14"/>
      <c r="Q9" s="130">
        <f ca="1"/>
        <v>2015</v>
      </c>
      <c r="R9" s="124" t="str">
        <f ca="1"/>
        <v>GEL</v>
      </c>
      <c r="S9" s="127" t="str">
        <f ca="1"/>
        <v/>
      </c>
    </row>
    <row r="10" spans="2:19" ht="23" customHeight="1">
      <c r="B10" s="46"/>
      <c r="C10" s="26"/>
      <c r="D10" s="86"/>
      <c r="E10" s="86"/>
      <c r="F10" s="86"/>
      <c r="G10" s="27"/>
      <c r="H10" s="14"/>
      <c r="I10" s="42">
        <f t="array" aca="1" ref="I10" ca="1">IF(ROW($A4)&gt;COUNTIF(COLN,WHERE),"",INDEX(DATE,SMALL(IF(COLN=WHERE,ROW(COLN)-1,""),ROW($A4))))</f>
        <v>41207</v>
      </c>
      <c r="J10" s="38" t="str">
        <f t="array" aca="1" ref="J10" ca="1">IF(ROW($A4)&gt;COUNTIF(COLN,WHERE),"",INDEX(categorie,SMALL(IF(COLN=WHERE,ROW(COLN)-1,""),ROW($A4))))</f>
        <v>SEMENCES</v>
      </c>
      <c r="K10" s="38" t="str">
        <f t="array" aca="1" ref="K10" ca="1">IF(ROW($A4)&gt;COUNTIF(COLN,WHERE),"",INDEX(PRODUIT,SMALL(IF(COLN=WHERE,ROW(COLN)-1,""),ROW($A4))))</f>
        <v>Miradoux Certifiées</v>
      </c>
      <c r="L10" s="56">
        <f t="array" aca="1" ref="L10" ca="1">IF(ROW($A4)&gt;COUNTIF(COLN,WHERE),"",INDEX(NB.HA,SMALL(IF(COLN=WHERE,ROW(COLN)-1,""),ROW($A4))))</f>
        <v>5.67</v>
      </c>
      <c r="M10" s="39">
        <f t="array" aca="1" ref="M10" ca="1">IF(ROW($A4)&gt;COUNTIF(COLN,WHERE),"",INDEX(QTE.HA,SMALL(IF(COLN=WHERE,ROW(COLN)-1,""),ROW($A4))))</f>
        <v>168</v>
      </c>
      <c r="N10" s="55">
        <f t="array" aca="1" ref="N10" ca="1">IF(ROW($A4)&gt;COUNTIF(COLN,WHERE),"",INDEX(MONTANT,SMALL(IF(COLN=WHERE,ROW(COLN)-1,""),ROW($A4))))</f>
        <v>766.81079999999997</v>
      </c>
      <c r="O10" s="47"/>
      <c r="P10" s="14"/>
      <c r="Q10" s="130"/>
      <c r="R10" s="124" t="str">
        <f ca="1"/>
        <v xml:space="preserve">SOJA </v>
      </c>
      <c r="S10" s="127" t="str">
        <f ca="1"/>
        <v/>
      </c>
    </row>
    <row r="11" spans="2:19" ht="23" customHeight="1">
      <c r="B11" s="46"/>
      <c r="C11" s="26"/>
      <c r="D11" s="77" t="s">
        <v>104</v>
      </c>
      <c r="E11" s="78"/>
      <c r="F11" s="136" t="e">
        <f>VLOOKUP(WHERE,PARCELLAIRE!$C$2:$F$29,3,FALSE)</f>
        <v>#N/A</v>
      </c>
      <c r="G11" s="27"/>
      <c r="H11" s="14"/>
      <c r="I11" s="42">
        <f t="array" aca="1" ref="I11" ca="1">IF(ROW($A5)&gt;COUNTIF(COLN,WHERE),"",INDEX(DATE,SMALL(IF(COLN=WHERE,ROW(COLN)-1,""),ROW($A5))))</f>
        <v>41324</v>
      </c>
      <c r="J11" s="38" t="str">
        <f t="array" aca="1" ref="J11" ca="1">IF(ROW($A5)&gt;COUNTIF(COLN,WHERE),"",INDEX(categorie,SMALL(IF(COLN=WHERE,ROW(COLN)-1,""),ROW($A5))))</f>
        <v>ENGRAIS</v>
      </c>
      <c r="K11" s="38" t="str">
        <f t="array" aca="1" ref="K11" ca="1">IF(ROW($A5)&gt;COUNTIF(COLN,WHERE),"",INDEX(PRODUIT,SMALL(IF(COLN=WHERE,ROW(COLN)-1,""),ROW($A5))))</f>
        <v>Urée</v>
      </c>
      <c r="L11" s="56">
        <f t="array" aca="1" ref="L11" ca="1">IF(ROW($A5)&gt;COUNTIF(COLN,WHERE),"",INDEX(NB.HA,SMALL(IF(COLN=WHERE,ROW(COLN)-1,""),ROW($A5))))</f>
        <v>5.67</v>
      </c>
      <c r="M11" s="39">
        <f t="array" aca="1" ref="M11" ca="1">IF(ROW($A5)&gt;COUNTIF(COLN,WHERE),"",INDEX(QTE.HA,SMALL(IF(COLN=WHERE,ROW(COLN)-1,""),ROW($A5))))</f>
        <v>150</v>
      </c>
      <c r="N11" s="55">
        <f t="array" aca="1" ref="N11" ca="1">IF(ROW($A5)&gt;COUNTIF(COLN,WHERE),"",INDEX(MONTANT,SMALL(IF(COLN=WHERE,ROW(COLN)-1,""),ROW($A5))))</f>
        <v>356.22064285714288</v>
      </c>
      <c r="O11" s="47"/>
      <c r="P11" s="14"/>
      <c r="Q11" s="130"/>
      <c r="R11" s="124" t="str">
        <f ca="1"/>
        <v>SORGHO</v>
      </c>
      <c r="S11" s="127" t="str">
        <f ca="1"/>
        <v/>
      </c>
    </row>
    <row r="12" spans="2:19" ht="23" customHeight="1">
      <c r="B12" s="46"/>
      <c r="C12" s="26"/>
      <c r="D12" s="83" t="s">
        <v>49</v>
      </c>
      <c r="E12" s="84"/>
      <c r="F12" s="137" t="e">
        <f>IF($F$7=PARCELLAIRE!A2,VLOOKUP('FOCUS CULTURE'!$F$9,PARCELLAIRE!$C:$G,6,0)," ")</f>
        <v>#N/A</v>
      </c>
      <c r="G12" s="27"/>
      <c r="H12" s="14"/>
      <c r="I12" s="42">
        <f t="array" aca="1" ref="I12" ca="1">IF(ROW($A6)&gt;COUNTIF(COLN,WHERE),"",INDEX(DATE,SMALL(IF(COLN=WHERE,ROW(COLN)-1,""),ROW($A6))))</f>
        <v>41341</v>
      </c>
      <c r="J12" s="38" t="str">
        <f t="array" aca="1" ref="J12" ca="1">IF(ROW($A6)&gt;COUNTIF(COLN,WHERE),"",INDEX(categorie,SMALL(IF(COLN=WHERE,ROW(COLN)-1,""),ROW($A6))))</f>
        <v>DESHERBANT</v>
      </c>
      <c r="K12" s="38" t="str">
        <f t="array" aca="1" ref="K12" ca="1">IF(ROW($A6)&gt;COUNTIF(COLN,WHERE),"",INDEX(PRODUIT,SMALL(IF(COLN=WHERE,ROW(COLN)-1,""),ROW($A6))))</f>
        <v>Allié SX</v>
      </c>
      <c r="L12" s="56">
        <f t="array" aca="1" ref="L12" ca="1">IF(ROW($A6)&gt;COUNTIF(COLN,WHERE),"",INDEX(NB.HA,SMALL(IF(COLN=WHERE,ROW(COLN)-1,""),ROW($A6))))</f>
        <v>5.67</v>
      </c>
      <c r="M12" s="39">
        <f t="array" aca="1" ref="M12" ca="1">IF(ROW($A6)&gt;COUNTIF(COLN,WHERE),"",INDEX(QTE.HA,SMALL(IF(COLN=WHERE,ROW(COLN)-1,""),ROW($A6))))</f>
        <v>20</v>
      </c>
      <c r="N12" s="55">
        <f t="array" aca="1" ref="N12" ca="1">IF(ROW($A6)&gt;COUNTIF(COLN,WHERE),"",INDEX(MONTANT,SMALL(IF(COLN=WHERE,ROW(COLN)-1,""),ROW($A6))))</f>
        <v>75.978000000000009</v>
      </c>
      <c r="O12" s="47"/>
      <c r="P12" s="14"/>
      <c r="Q12" s="130"/>
      <c r="R12" s="124" t="str">
        <f ca="1"/>
        <v>TOURNESOL</v>
      </c>
      <c r="S12" s="127" t="str">
        <f ca="1"/>
        <v/>
      </c>
    </row>
    <row r="13" spans="2:19" ht="23" customHeight="1">
      <c r="B13" s="46"/>
      <c r="C13" s="26"/>
      <c r="D13" s="40"/>
      <c r="E13" s="40"/>
      <c r="F13" s="40"/>
      <c r="G13" s="27"/>
      <c r="H13" s="14"/>
      <c r="I13" s="42">
        <f t="array" aca="1" ref="I13" ca="1">IF(ROW($A7)&gt;COUNTIF(COLN,WHERE),"",INDEX(DATE,SMALL(IF(COLN=WHERE,ROW(COLN)-1,""),ROW($A7))))</f>
        <v>41341</v>
      </c>
      <c r="J13" s="38" t="str">
        <f t="array" aca="1" ref="J13" ca="1">IF(ROW($A7)&gt;COUNTIF(COLN,WHERE),"",INDEX(categorie,SMALL(IF(COLN=WHERE,ROW(COLN)-1,""),ROW($A7))))</f>
        <v>DESHERBANT</v>
      </c>
      <c r="K13" s="38" t="str">
        <f t="array" aca="1" ref="K13" ca="1">IF(ROW($A7)&gt;COUNTIF(COLN,WHERE),"",INDEX(PRODUIT,SMALL(IF(COLN=WHERE,ROW(COLN)-1,""),ROW($A7))))</f>
        <v>Actual Pratic</v>
      </c>
      <c r="L13" s="56">
        <f t="array" aca="1" ref="L13" ca="1">IF(ROW($A7)&gt;COUNTIF(COLN,WHERE),"",INDEX(NB.HA,SMALL(IF(COLN=WHERE,ROW(COLN)-1,""),ROW($A7))))</f>
        <v>5.67</v>
      </c>
      <c r="M13" s="39">
        <f t="array" aca="1" ref="M13" ca="1">IF(ROW($A7)&gt;COUNTIF(COLN,WHERE),"",INDEX(QTE.HA,SMALL(IF(COLN=WHERE,ROW(COLN)-1,""),ROW($A7))))</f>
        <v>0.9</v>
      </c>
      <c r="N13" s="55">
        <f t="array" aca="1" ref="N13" ca="1">IF(ROW($A7)&gt;COUNTIF(COLN,WHERE),"",INDEX(MONTANT,SMALL(IF(COLN=WHERE,ROW(COLN)-1,""),ROW($A7))))</f>
        <v>158.19299999999998</v>
      </c>
      <c r="O13" s="47"/>
      <c r="P13" s="14"/>
      <c r="Q13" s="130"/>
      <c r="R13" s="124" t="str">
        <f ca="1"/>
        <v/>
      </c>
      <c r="S13" s="127" t="str">
        <f ca="1"/>
        <v/>
      </c>
    </row>
    <row r="14" spans="2:19" ht="23" customHeight="1">
      <c r="B14" s="46"/>
      <c r="C14" s="26"/>
      <c r="D14" s="77" t="s">
        <v>106</v>
      </c>
      <c r="E14" s="78"/>
      <c r="F14" s="79">
        <f ca="1">SUM(N7:N37)</f>
        <v>3280.1974820697847</v>
      </c>
      <c r="G14" s="27"/>
      <c r="H14" s="14"/>
      <c r="I14" s="42">
        <f t="array" aca="1" ref="I14" ca="1">IF(ROW($A8)&gt;COUNTIF(COLN,WHERE),"",INDEX(DATE,SMALL(IF(COLN=WHERE,ROW(COLN)-1,""),ROW($A8))))</f>
        <v>41347</v>
      </c>
      <c r="J14" s="38" t="str">
        <f t="array" aca="1" ref="J14" ca="1">IF(ROW($A8)&gt;COUNTIF(COLN,WHERE),"",INDEX(categorie,SMALL(IF(COLN=WHERE,ROW(COLN)-1,""),ROW($A8))))</f>
        <v>ENGRAIS</v>
      </c>
      <c r="K14" s="38" t="str">
        <f t="array" aca="1" ref="K14" ca="1">IF(ROW($A8)&gt;COUNTIF(COLN,WHERE),"",INDEX(PRODUIT,SMALL(IF(COLN=WHERE,ROW(COLN)-1,""),ROW($A8))))</f>
        <v>Urée</v>
      </c>
      <c r="L14" s="56">
        <f t="array" aca="1" ref="L14" ca="1">IF(ROW($A8)&gt;COUNTIF(COLN,WHERE),"",INDEX(NB.HA,SMALL(IF(COLN=WHERE,ROW(COLN)-1,""),ROW($A8))))</f>
        <v>5.67</v>
      </c>
      <c r="M14" s="39">
        <f t="array" aca="1" ref="M14" ca="1">IF(ROW($A8)&gt;COUNTIF(COLN,WHERE),"",INDEX(QTE.HA,SMALL(IF(COLN=WHERE,ROW(COLN)-1,""),ROW($A8))))</f>
        <v>180</v>
      </c>
      <c r="N14" s="55">
        <f t="array" aca="1" ref="N14" ca="1">IF(ROW($A8)&gt;COUNTIF(COLN,WHERE),"",INDEX(MONTANT,SMALL(IF(COLN=WHERE,ROW(COLN)-1,""),ROW($A8))))</f>
        <v>427.46477142857145</v>
      </c>
      <c r="O14" s="47"/>
      <c r="P14" s="14"/>
      <c r="Q14" s="130"/>
      <c r="R14" s="124" t="str">
        <f ca="1"/>
        <v/>
      </c>
      <c r="S14" s="127" t="str">
        <f ca="1"/>
        <v/>
      </c>
    </row>
    <row r="15" spans="2:19" ht="23" customHeight="1">
      <c r="B15" s="46"/>
      <c r="C15" s="26"/>
      <c r="D15" s="80"/>
      <c r="E15" s="81" t="s">
        <v>37</v>
      </c>
      <c r="F15" s="82">
        <f ca="1">SUMIF($J$7:$J$36,E15,$N$7:$N$36)</f>
        <v>1014.2896235294118</v>
      </c>
      <c r="G15" s="27"/>
      <c r="H15" s="14"/>
      <c r="I15" s="42">
        <f t="array" aca="1" ref="I15" ca="1">IF(ROW($A9)&gt;COUNTIF(COLN,WHERE),"",INDEX(DATE,SMALL(IF(COLN=WHERE,ROW(COLN)-1,""),ROW($A9))))</f>
        <v>41354</v>
      </c>
      <c r="J15" s="38" t="str">
        <f t="array" aca="1" ref="J15" ca="1">IF(ROW($A9)&gt;COUNTIF(COLN,WHERE),"",INDEX(categorie,SMALL(IF(COLN=WHERE,ROW(COLN)-1,""),ROW($A9))))</f>
        <v>DIVERS</v>
      </c>
      <c r="K15" s="38" t="str">
        <f t="array" aca="1" ref="K15" ca="1">IF(ROW($A9)&gt;COUNTIF(COLN,WHERE),"",INDEX(PRODUIT,SMALL(IF(COLN=WHERE,ROW(COLN)-1,""),ROW($A9))))</f>
        <v>Effecto</v>
      </c>
      <c r="L15" s="56">
        <f t="array" aca="1" ref="L15" ca="1">IF(ROW($A9)&gt;COUNTIF(COLN,WHERE),"",INDEX(NB.HA,SMALL(IF(COLN=WHERE,ROW(COLN)-1,""),ROW($A9))))</f>
        <v>5.67</v>
      </c>
      <c r="M15" s="39">
        <f t="array" aca="1" ref="M15" ca="1">IF(ROW($A9)&gt;COUNTIF(COLN,WHERE),"",INDEX(QTE.HA,SMALL(IF(COLN=WHERE,ROW(COLN)-1,""),ROW($A9))))</f>
        <v>3</v>
      </c>
      <c r="N15" s="55">
        <f t="array" aca="1" ref="N15" ca="1">IF(ROW($A9)&gt;COUNTIF(COLN,WHERE),"",INDEX(MONTANT,SMALL(IF(COLN=WHERE,ROW(COLN)-1,""),ROW($A9))))</f>
        <v>49.328999999999994</v>
      </c>
      <c r="O15" s="47"/>
      <c r="P15" s="14"/>
      <c r="Q15" s="130"/>
      <c r="R15" s="124" t="str">
        <f ca="1"/>
        <v/>
      </c>
      <c r="S15" s="127" t="str">
        <f ca="1"/>
        <v/>
      </c>
    </row>
    <row r="16" spans="2:19" ht="23" customHeight="1">
      <c r="B16" s="46"/>
      <c r="C16" s="26"/>
      <c r="D16" s="80"/>
      <c r="E16" s="81" t="s">
        <v>8</v>
      </c>
      <c r="F16" s="82">
        <f ca="1">SUMIF($J$7:$J$36,E16,$N$7:$N$36)</f>
        <v>1128.0320357142859</v>
      </c>
      <c r="G16" s="27"/>
      <c r="H16" s="14"/>
      <c r="I16" s="42">
        <f t="array" aca="1" ref="I16" ca="1">IF(ROW($A10)&gt;COUNTIF(COLN,WHERE),"",INDEX(DATE,SMALL(IF(COLN=WHERE,ROW(COLN)-1,""),ROW($A10))))</f>
        <v>41379</v>
      </c>
      <c r="J16" s="38" t="str">
        <f t="array" aca="1" ref="J16" ca="1">IF(ROW($A10)&gt;COUNTIF(COLN,WHERE),"",INDEX(categorie,SMALL(IF(COLN=WHERE,ROW(COLN)-1,""),ROW($A10))))</f>
        <v>FONGICIDES</v>
      </c>
      <c r="K16" s="38" t="str">
        <f t="array" aca="1" ref="K16" ca="1">IF(ROW($A10)&gt;COUNTIF(COLN,WHERE),"",INDEX(PRODUIT,SMALL(IF(COLN=WHERE,ROW(COLN)-1,""),ROW($A10))))</f>
        <v>Opus New</v>
      </c>
      <c r="L16" s="56">
        <f t="array" aca="1" ref="L16" ca="1">IF(ROW($A10)&gt;COUNTIF(COLN,WHERE),"",INDEX(NB.HA,SMALL(IF(COLN=WHERE,ROW(COLN)-1,""),ROW($A10))))</f>
        <v>5.67</v>
      </c>
      <c r="M16" s="39">
        <f t="array" aca="1" ref="M16" ca="1">IF(ROW($A10)&gt;COUNTIF(COLN,WHERE),"",INDEX(QTE.HA,SMALL(IF(COLN=WHERE,ROW(COLN)-1,""),ROW($A10))))</f>
        <v>0.6</v>
      </c>
      <c r="N16" s="55">
        <f t="array" aca="1" ref="N16" ca="1">IF(ROW($A10)&gt;COUNTIF(COLN,WHERE),"",INDEX(MONTANT,SMALL(IF(COLN=WHERE,ROW(COLN)-1,""),ROW($A10))))</f>
        <v>105.15581999999999</v>
      </c>
      <c r="O16" s="47"/>
      <c r="P16" s="14"/>
      <c r="Q16" s="130"/>
      <c r="R16" s="124" t="str">
        <f ca="1"/>
        <v/>
      </c>
      <c r="S16" s="127" t="str">
        <f ca="1"/>
        <v/>
      </c>
    </row>
    <row r="17" spans="2:19" ht="23" customHeight="1">
      <c r="B17" s="46"/>
      <c r="C17" s="26"/>
      <c r="D17" s="80"/>
      <c r="E17" s="81" t="s">
        <v>15</v>
      </c>
      <c r="F17" s="82">
        <f ca="1">SUMIF($J$7:$J$36,E17,$N$7:$N$36)</f>
        <v>262.17032282608693</v>
      </c>
      <c r="G17" s="27"/>
      <c r="H17" s="14"/>
      <c r="I17" s="42">
        <f t="array" aca="1" ref="I17" ca="1">IF(ROW($A11)&gt;COUNTIF(COLN,WHERE),"",INDEX(DATE,SMALL(IF(COLN=WHERE,ROW(COLN)-1,""),ROW($A11))))</f>
        <v>41379</v>
      </c>
      <c r="J17" s="38" t="str">
        <f t="array" aca="1" ref="J17" ca="1">IF(ROW($A11)&gt;COUNTIF(COLN,WHERE),"",INDEX(categorie,SMALL(IF(COLN=WHERE,ROW(COLN)-1,""),ROW($A11))))</f>
        <v>FONGICIDES</v>
      </c>
      <c r="K17" s="38" t="str">
        <f t="array" aca="1" ref="K17" ca="1">IF(ROW($A11)&gt;COUNTIF(COLN,WHERE),"",INDEX(PRODUIT,SMALL(IF(COLN=WHERE,ROW(COLN)-1,""),ROW($A11))))</f>
        <v>Mirage</v>
      </c>
      <c r="L17" s="56">
        <f t="array" aca="1" ref="L17" ca="1">IF(ROW($A11)&gt;COUNTIF(COLN,WHERE),"",INDEX(NB.HA,SMALL(IF(COLN=WHERE,ROW(COLN)-1,""),ROW($A11))))</f>
        <v>5.67</v>
      </c>
      <c r="M17" s="39">
        <f t="array" aca="1" ref="M17" ca="1">IF(ROW($A11)&gt;COUNTIF(COLN,WHERE),"",INDEX(QTE.HA,SMALL(IF(COLN=WHERE,ROW(COLN)-1,""),ROW($A11))))</f>
        <v>0.7</v>
      </c>
      <c r="N17" s="55">
        <f t="array" aca="1" ref="N17" ca="1">IF(ROW($A11)&gt;COUNTIF(COLN,WHERE),"",INDEX(MONTANT,SMALL(IF(COLN=WHERE,ROW(COLN)-1,""),ROW($A11))))</f>
        <v>35.720999999999997</v>
      </c>
      <c r="O17" s="48"/>
      <c r="P17" s="14"/>
      <c r="Q17" s="130"/>
      <c r="R17" s="125" t="str">
        <f ca="1"/>
        <v/>
      </c>
      <c r="S17" s="127" t="str">
        <f ca="1"/>
        <v/>
      </c>
    </row>
    <row r="18" spans="2:19" ht="23" customHeight="1">
      <c r="B18" s="46"/>
      <c r="C18" s="26"/>
      <c r="D18" s="80"/>
      <c r="E18" s="81" t="s">
        <v>31</v>
      </c>
      <c r="F18" s="82">
        <f ca="1">SUMIF($J$7:$J$36,E18,$N$7:$N$36)</f>
        <v>530.40581999999995</v>
      </c>
      <c r="G18" s="27"/>
      <c r="H18" s="14"/>
      <c r="I18" s="42">
        <f t="array" aca="1" ref="I18" ca="1">IF(ROW($A12)&gt;COUNTIF(COLN,WHERE),"",INDEX(DATE,SMALL(IF(COLN=WHERE,ROW(COLN)-1,""),ROW($A12))))</f>
        <v>41379</v>
      </c>
      <c r="J18" s="38" t="str">
        <f t="array" aca="1" ref="J18" ca="1">IF(ROW($A12)&gt;COUNTIF(COLN,WHERE),"",INDEX(categorie,SMALL(IF(COLN=WHERE,ROW(COLN)-1,""),ROW($A12))))</f>
        <v>DIVERS</v>
      </c>
      <c r="K18" s="38" t="str">
        <f t="array" aca="1" ref="K18" ca="1">IF(ROW($A12)&gt;COUNTIF(COLN,WHERE),"",INDEX(PRODUIT,SMALL(IF(COLN=WHERE,ROW(COLN)-1,""),ROW($A12))))</f>
        <v>Heliosol</v>
      </c>
      <c r="L18" s="56">
        <f t="array" aca="1" ref="L18" ca="1">IF(ROW($A12)&gt;COUNTIF(COLN,WHERE),"",INDEX(NB.HA,SMALL(IF(COLN=WHERE,ROW(COLN)-1,""),ROW($A12))))</f>
        <v>5.67</v>
      </c>
      <c r="M18" s="39">
        <f t="array" aca="1" ref="M18" ca="1">IF(ROW($A12)&gt;COUNTIF(COLN,WHERE),"",INDEX(QTE.HA,SMALL(IF(COLN=WHERE,ROW(COLN)-1,""),ROW($A12))))</f>
        <v>0.2</v>
      </c>
      <c r="N18" s="55">
        <f t="array" aca="1" ref="N18" ca="1">IF(ROW($A12)&gt;COUNTIF(COLN,WHERE),"",INDEX(MONTANT,SMALL(IF(COLN=WHERE,ROW(COLN)-1,""),ROW($A12))))</f>
        <v>12.485340000000001</v>
      </c>
      <c r="O18" s="47"/>
      <c r="P18" s="14"/>
      <c r="S18" s="127" t="str">
        <f ca="1"/>
        <v/>
      </c>
    </row>
    <row r="19" spans="2:19" ht="23" customHeight="1">
      <c r="B19" s="46"/>
      <c r="C19" s="26"/>
      <c r="D19" s="80"/>
      <c r="E19" s="81" t="s">
        <v>102</v>
      </c>
      <c r="F19" s="82">
        <f ca="1">SUMIF($J$7:$J$36,E19,$N$7:$N$36)</f>
        <v>0</v>
      </c>
      <c r="G19" s="27"/>
      <c r="H19" s="14"/>
      <c r="I19" s="42">
        <f t="array" aca="1" ref="I19" ca="1">IF(ROW($A13)&gt;COUNTIF(COLN,WHERE),"",INDEX(DATE,SMALL(IF(COLN=WHERE,ROW(COLN)-1,""),ROW($A13))))</f>
        <v>41389</v>
      </c>
      <c r="J19" s="38" t="str">
        <f t="array" aca="1" ref="J19" ca="1">IF(ROW($A13)&gt;COUNTIF(COLN,WHERE),"",INDEX(categorie,SMALL(IF(COLN=WHERE,ROW(COLN)-1,""),ROW($A13))))</f>
        <v>ENGRAIS</v>
      </c>
      <c r="K19" s="38" t="str">
        <f t="array" aca="1" ref="K19" ca="1">IF(ROW($A13)&gt;COUNTIF(COLN,WHERE),"",INDEX(PRODUIT,SMALL(IF(COLN=WHERE,ROW(COLN)-1,""),ROW($A13))))</f>
        <v>Urée</v>
      </c>
      <c r="L19" s="56">
        <f t="array" aca="1" ref="L19" ca="1">IF(ROW($A13)&gt;COUNTIF(COLN,WHERE),"",INDEX(NB.HA,SMALL(IF(COLN=WHERE,ROW(COLN)-1,""),ROW($A13))))</f>
        <v>5.67</v>
      </c>
      <c r="M19" s="39">
        <f t="array" aca="1" ref="M19" ca="1">IF(ROW($A13)&gt;COUNTIF(COLN,WHERE),"",INDEX(QTE.HA,SMALL(IF(COLN=WHERE,ROW(COLN)-1,""),ROW($A13))))</f>
        <v>145</v>
      </c>
      <c r="N19" s="55">
        <f t="array" aca="1" ref="N19" ca="1">IF(ROW($A13)&gt;COUNTIF(COLN,WHERE),"",INDEX(MONTANT,SMALL(IF(COLN=WHERE,ROW(COLN)-1,""),ROW($A13))))</f>
        <v>344.34662142857144</v>
      </c>
      <c r="O19" s="47"/>
      <c r="P19" s="14"/>
      <c r="S19" s="127" t="str">
        <f ca="1"/>
        <v/>
      </c>
    </row>
    <row r="20" spans="2:19" ht="23" customHeight="1">
      <c r="B20" s="46"/>
      <c r="C20" s="26"/>
      <c r="D20" s="83" t="s">
        <v>103</v>
      </c>
      <c r="E20" s="84"/>
      <c r="F20" s="85" t="e">
        <f ca="1">F14/F11</f>
        <v>#N/A</v>
      </c>
      <c r="G20" s="27"/>
      <c r="H20" s="14"/>
      <c r="I20" s="42">
        <f t="array" aca="1" ref="I20" ca="1">IF(ROW($A14)&gt;COUNTIF(COLN,WHERE),"",INDEX(DATE,SMALL(IF(COLN=WHERE,ROW(COLN)-1,""),ROW($A14))))</f>
        <v>41396</v>
      </c>
      <c r="J20" s="38" t="str">
        <f t="array" aca="1" ref="J20" ca="1">IF(ROW($A14)&gt;COUNTIF(COLN,WHERE),"",INDEX(categorie,SMALL(IF(COLN=WHERE,ROW(COLN)-1,""),ROW($A14))))</f>
        <v>FONGICIDES</v>
      </c>
      <c r="K20" s="38" t="str">
        <f t="array" aca="1" ref="K20" ca="1">IF(ROW($A14)&gt;COUNTIF(COLN,WHERE),"",INDEX(PRODUIT,SMALL(IF(COLN=WHERE,ROW(COLN)-1,""),ROW($A14))))</f>
        <v>Acanto</v>
      </c>
      <c r="L20" s="56">
        <f t="array" aca="1" ref="L20" ca="1">IF(ROW($A14)&gt;COUNTIF(COLN,WHERE),"",INDEX(NB.HA,SMALL(IF(COLN=WHERE,ROW(COLN)-1,""),ROW($A14))))</f>
        <v>5.67</v>
      </c>
      <c r="M20" s="39">
        <f t="array" aca="1" ref="M20" ca="1">IF(ROW($A14)&gt;COUNTIF(COLN,WHERE),"",INDEX(QTE.HA,SMALL(IF(COLN=WHERE,ROW(COLN)-1,""),ROW($A14))))</f>
        <v>0.3</v>
      </c>
      <c r="N20" s="55">
        <f t="array" aca="1" ref="N20" ca="1">IF(ROW($A14)&gt;COUNTIF(COLN,WHERE),"",INDEX(MONTANT,SMALL(IF(COLN=WHERE,ROW(COLN)-1,""),ROW($A14))))</f>
        <v>62.936999999999998</v>
      </c>
      <c r="O20" s="47"/>
      <c r="P20" s="14"/>
      <c r="S20" s="127" t="str">
        <f ca="1"/>
        <v/>
      </c>
    </row>
    <row r="21" spans="2:19" ht="23" customHeight="1">
      <c r="B21" s="46"/>
      <c r="C21" s="26"/>
      <c r="D21" s="70"/>
      <c r="E21" s="70"/>
      <c r="F21" s="71"/>
      <c r="G21" s="27"/>
      <c r="H21" s="14"/>
      <c r="I21" s="42">
        <f t="array" aca="1" ref="I21" ca="1">IF(ROW($A15)&gt;COUNTIF(COLN,WHERE),"",INDEX(DATE,SMALL(IF(COLN=WHERE,ROW(COLN)-1,""),ROW($A15))))</f>
        <v>41396</v>
      </c>
      <c r="J21" s="38" t="str">
        <f t="array" aca="1" ref="J21" ca="1">IF(ROW($A15)&gt;COUNTIF(COLN,WHERE),"",INDEX(categorie,SMALL(IF(COLN=WHERE,ROW(COLN)-1,""),ROW($A15))))</f>
        <v>FONGICIDES</v>
      </c>
      <c r="K21" s="38" t="str">
        <f t="array" aca="1" ref="K21" ca="1">IF(ROW($A15)&gt;COUNTIF(COLN,WHERE),"",INDEX(PRODUIT,SMALL(IF(COLN=WHERE,ROW(COLN)-1,""),ROW($A15))))</f>
        <v>Pixel</v>
      </c>
      <c r="L21" s="56">
        <f t="array" aca="1" ref="L21" ca="1">IF(ROW($A15)&gt;COUNTIF(COLN,WHERE),"",INDEX(NB.HA,SMALL(IF(COLN=WHERE,ROW(COLN)-1,""),ROW($A15))))</f>
        <v>5.67</v>
      </c>
      <c r="M21" s="39">
        <f t="array" aca="1" ref="M21" ca="1">IF(ROW($A15)&gt;COUNTIF(COLN,WHERE),"",INDEX(QTE.HA,SMALL(IF(COLN=WHERE,ROW(COLN)-1,""),ROW($A15))))</f>
        <v>1</v>
      </c>
      <c r="N21" s="55">
        <f t="array" aca="1" ref="N21" ca="1">IF(ROW($A15)&gt;COUNTIF(COLN,WHERE),"",INDEX(MONTANT,SMALL(IF(COLN=WHERE,ROW(COLN)-1,""),ROW($A15))))</f>
        <v>81.647999999999996</v>
      </c>
      <c r="O21" s="47"/>
      <c r="P21" s="14"/>
      <c r="S21" s="127" t="str">
        <f ca="1"/>
        <v/>
      </c>
    </row>
    <row r="22" spans="2:19" ht="23" customHeight="1">
      <c r="B22" s="46"/>
      <c r="C22" s="26"/>
      <c r="D22" s="23"/>
      <c r="E22" s="24"/>
      <c r="F22" s="25"/>
      <c r="G22" s="27"/>
      <c r="H22" s="14"/>
      <c r="I22" s="42">
        <f t="array" aca="1" ref="I22" ca="1">IF(ROW($A16)&gt;COUNTIF(COLN,WHERE),"",INDEX(DATE,SMALL(IF(COLN=WHERE,ROW(COLN)-1,""),ROW($A16))))</f>
        <v>41421</v>
      </c>
      <c r="J22" s="38" t="str">
        <f t="array" aca="1" ref="J22" ca="1">IF(ROW($A16)&gt;COUNTIF(COLN,WHERE),"",INDEX(categorie,SMALL(IF(COLN=WHERE,ROW(COLN)-1,""),ROW($A16))))</f>
        <v>FONGICIDES</v>
      </c>
      <c r="K22" s="38" t="str">
        <f t="array" aca="1" ref="K22" ca="1">IF(ROW($A16)&gt;COUNTIF(COLN,WHERE),"",INDEX(PRODUIT,SMALL(IF(COLN=WHERE,ROW(COLN)-1,""),ROW($A16))))</f>
        <v>Kestrel</v>
      </c>
      <c r="L22" s="56">
        <f t="array" aca="1" ref="L22" ca="1">IF(ROW($A16)&gt;COUNTIF(COLN,WHERE),"",INDEX(NB.HA,SMALL(IF(COLN=WHERE,ROW(COLN)-1,""),ROW($A16))))</f>
        <v>5.67</v>
      </c>
      <c r="M22" s="39">
        <f t="array" aca="1" ref="M22" ca="1">IF(ROW($A16)&gt;COUNTIF(COLN,WHERE),"",INDEX(QTE.HA,SMALL(IF(COLN=WHERE,ROW(COLN)-1,""),ROW($A16))))</f>
        <v>0.8</v>
      </c>
      <c r="N22" s="55">
        <f t="array" aca="1" ref="N22" ca="1">IF(ROW($A16)&gt;COUNTIF(COLN,WHERE),"",INDEX(MONTANT,SMALL(IF(COLN=WHERE,ROW(COLN)-1,""),ROW($A16))))</f>
        <v>244.94400000000002</v>
      </c>
      <c r="O22" s="47"/>
      <c r="P22" s="14"/>
      <c r="S22" s="127" t="str">
        <f ca="1"/>
        <v/>
      </c>
    </row>
    <row r="23" spans="2:19" ht="23" customHeight="1">
      <c r="B23" s="46"/>
      <c r="C23" s="26"/>
      <c r="D23" s="26"/>
      <c r="E23" s="14"/>
      <c r="F23" s="27"/>
      <c r="G23" s="27"/>
      <c r="H23" s="14"/>
      <c r="I23" s="42">
        <f t="array" aca="1" ref="I23" ca="1">IF(ROW($A17)&gt;COUNTIF(COLN,WHERE),"",INDEX(DATE,SMALL(IF(COLN=WHERE,ROW(COLN)-1,""),ROW($A17))))</f>
        <v>41479</v>
      </c>
      <c r="J23" s="38" t="str">
        <f t="array" aca="1" ref="J23" ca="1">IF(ROW($A17)&gt;COUNTIF(COLN,WHERE),"",INDEX(categorie,SMALL(IF(COLN=WHERE,ROW(COLN)-1,""),ROW($A17))))</f>
        <v>RECOLTE</v>
      </c>
      <c r="K23" s="38" t="str">
        <f t="array" aca="1" ref="K23" ca="1">IF(ROW($A17)&gt;COUNTIF(COLN,WHERE),"",INDEX(PRODUIT,SMALL(IF(COLN=WHERE,ROW(COLN)-1,""),ROW($A17))))</f>
        <v>Récolte</v>
      </c>
      <c r="L23" s="56">
        <f t="array" aca="1" ref="L23" ca="1">IF(ROW($A17)&gt;COUNTIF(COLN,WHERE),"",INDEX(NB.HA,SMALL(IF(COLN=WHERE,ROW(COLN)-1,""),ROW($A17))))</f>
        <v>5.67</v>
      </c>
      <c r="M23" s="39">
        <f t="array" aca="1" ref="M23" ca="1">IF(ROW($A17)&gt;COUNTIF(COLN,WHERE),"",INDEX(QTE.HA,SMALL(IF(COLN=WHERE,ROW(COLN)-1,""),ROW($A17))))</f>
        <v>47.795414462081126</v>
      </c>
      <c r="N23" s="55">
        <f t="array" aca="1" ref="N23" ca="1">IF(ROW($A17)&gt;COUNTIF(COLN,WHERE),"",INDEX(MONTANT,SMALL(IF(COLN=WHERE,ROW(COLN)-1,""),ROW($A17))))</f>
        <v>271</v>
      </c>
      <c r="O23" s="47"/>
      <c r="P23" s="14"/>
      <c r="S23" s="127" t="str">
        <f ca="1"/>
        <v/>
      </c>
    </row>
    <row r="24" spans="2:19" ht="23" customHeight="1">
      <c r="B24" s="46"/>
      <c r="C24" s="26"/>
      <c r="D24" s="26"/>
      <c r="E24" s="14"/>
      <c r="F24" s="27"/>
      <c r="G24" s="27"/>
      <c r="H24" s="14"/>
      <c r="I24" s="42" t="str">
        <f t="array" aca="1" ref="I24" ca="1">IF(ROW($A18)&gt;COUNTIF(COLN,WHERE),"",INDEX(DATE,SMALL(IF(COLN=WHERE,ROW(COLN)-1,""),ROW($A18))))</f>
        <v/>
      </c>
      <c r="J24" s="38" t="str">
        <f t="array" aca="1" ref="J24" ca="1">IF(ROW($A18)&gt;COUNTIF(COLN,WHERE),"",INDEX(categorie,SMALL(IF(COLN=WHERE,ROW(COLN)-1,""),ROW($A18))))</f>
        <v/>
      </c>
      <c r="K24" s="38" t="str">
        <f t="array" aca="1" ref="K24" ca="1">IF(ROW($A18)&gt;COUNTIF(COLN,WHERE),"",INDEX(PRODUIT,SMALL(IF(COLN=WHERE,ROW(COLN)-1,""),ROW($A18))))</f>
        <v/>
      </c>
      <c r="L24" s="56" t="str">
        <f t="array" aca="1" ref="L24" ca="1">IF(ROW($A18)&gt;COUNTIF(COLN,WHERE),"",INDEX(NB.HA,SMALL(IF(COLN=WHERE,ROW(COLN)-1,""),ROW($A18))))</f>
        <v/>
      </c>
      <c r="M24" s="39" t="str">
        <f t="array" aca="1" ref="M24" ca="1">IF(ROW($A18)&gt;COUNTIF(COLN,WHERE),"",INDEX(QTE.HA,SMALL(IF(COLN=WHERE,ROW(COLN)-1,""),ROW($A18))))</f>
        <v/>
      </c>
      <c r="N24" s="55" t="str">
        <f t="array" aca="1" ref="N24" ca="1">IF(ROW($A18)&gt;COUNTIF(COLN,WHERE),"",INDEX(MONTANT,SMALL(IF(COLN=WHERE,ROW(COLN)-1,""),ROW($A18))))</f>
        <v/>
      </c>
      <c r="O24" s="47"/>
      <c r="P24" s="14"/>
      <c r="S24" s="127" t="str">
        <f ca="1"/>
        <v/>
      </c>
    </row>
    <row r="25" spans="2:19" ht="23" customHeight="1">
      <c r="B25" s="46"/>
      <c r="C25" s="26"/>
      <c r="D25" s="26"/>
      <c r="E25" s="14"/>
      <c r="F25" s="27"/>
      <c r="G25" s="27"/>
      <c r="H25" s="14"/>
      <c r="I25" s="42" t="str">
        <f t="array" aca="1" ref="I25" ca="1">IF(ROW($A19)&gt;COUNTIF(COLN,WHERE),"",INDEX(DATE,SMALL(IF(COLN=WHERE,ROW(COLN)-1,""),ROW($A19))))</f>
        <v/>
      </c>
      <c r="J25" s="38" t="str">
        <f t="array" aca="1" ref="J25" ca="1">IF(ROW($A19)&gt;COUNTIF(COLN,WHERE),"",INDEX(categorie,SMALL(IF(COLN=WHERE,ROW(COLN)-1,""),ROW($A19))))</f>
        <v/>
      </c>
      <c r="K25" s="38" t="str">
        <f t="array" aca="1" ref="K25" ca="1">IF(ROW($A19)&gt;COUNTIF(COLN,WHERE),"",INDEX(PRODUIT,SMALL(IF(COLN=WHERE,ROW(COLN)-1,""),ROW($A19))))</f>
        <v/>
      </c>
      <c r="L25" s="56" t="str">
        <f t="array" aca="1" ref="L25" ca="1">IF(ROW($A19)&gt;COUNTIF(COLN,WHERE),"",INDEX(NB.HA,SMALL(IF(COLN=WHERE,ROW(COLN)-1,""),ROW($A19))))</f>
        <v/>
      </c>
      <c r="M25" s="39" t="str">
        <f t="array" aca="1" ref="M25" ca="1">IF(ROW($A19)&gt;COUNTIF(COLN,WHERE),"",INDEX(QTE.HA,SMALL(IF(COLN=WHERE,ROW(COLN)-1,""),ROW($A19))))</f>
        <v/>
      </c>
      <c r="N25" s="55" t="str">
        <f t="array" aca="1" ref="N25" ca="1">IF(ROW($A19)&gt;COUNTIF(COLN,WHERE),"",INDEX(MONTANT,SMALL(IF(COLN=WHERE,ROW(COLN)-1,""),ROW($A19))))</f>
        <v/>
      </c>
      <c r="O25" s="47"/>
      <c r="P25" s="14"/>
      <c r="S25" s="127" t="str">
        <f ca="1"/>
        <v/>
      </c>
    </row>
    <row r="26" spans="2:19" ht="23" customHeight="1">
      <c r="B26" s="46"/>
      <c r="C26" s="26"/>
      <c r="D26" s="26"/>
      <c r="E26" s="14"/>
      <c r="F26" s="27"/>
      <c r="G26" s="27"/>
      <c r="H26" s="14"/>
      <c r="I26" s="42" t="str">
        <f t="array" aca="1" ref="I26" ca="1">IF(ROW($A20)&gt;COUNTIF(COLN,WHERE),"",INDEX(DATE,SMALL(IF(COLN=WHERE,ROW(COLN)-1,""),ROW($A20))))</f>
        <v/>
      </c>
      <c r="J26" s="38" t="str">
        <f t="array" aca="1" ref="J26" ca="1">IF(ROW($A20)&gt;COUNTIF(COLN,WHERE),"",INDEX(categorie,SMALL(IF(COLN=WHERE,ROW(COLN)-1,""),ROW($A20))))</f>
        <v/>
      </c>
      <c r="K26" s="38" t="str">
        <f t="array" aca="1" ref="K26" ca="1">IF(ROW($A20)&gt;COUNTIF(COLN,WHERE),"",INDEX(PRODUIT,SMALL(IF(COLN=WHERE,ROW(COLN)-1,""),ROW($A20))))</f>
        <v/>
      </c>
      <c r="L26" s="56" t="str">
        <f t="array" aca="1" ref="L26" ca="1">IF(ROW($A20)&gt;COUNTIF(COLN,WHERE),"",INDEX(NB.HA,SMALL(IF(COLN=WHERE,ROW(COLN)-1,""),ROW($A20))))</f>
        <v/>
      </c>
      <c r="M26" s="39" t="str">
        <f t="array" aca="1" ref="M26" ca="1">IF(ROW($A20)&gt;COUNTIF(COLN,WHERE),"",INDEX(QTE.HA,SMALL(IF(COLN=WHERE,ROW(COLN)-1,""),ROW($A20))))</f>
        <v/>
      </c>
      <c r="N26" s="55" t="str">
        <f t="array" aca="1" ref="N26" ca="1">IF(ROW($A20)&gt;COUNTIF(COLN,WHERE),"",INDEX(MONTANT,SMALL(IF(COLN=WHERE,ROW(COLN)-1,""),ROW($A20))))</f>
        <v/>
      </c>
      <c r="O26" s="47"/>
      <c r="P26" s="14"/>
      <c r="S26" s="127" t="str">
        <f ca="1"/>
        <v/>
      </c>
    </row>
    <row r="27" spans="2:19" ht="23" customHeight="1">
      <c r="B27" s="46"/>
      <c r="C27" s="26"/>
      <c r="D27" s="26"/>
      <c r="E27" s="14"/>
      <c r="F27" s="27"/>
      <c r="G27" s="27"/>
      <c r="H27" s="14"/>
      <c r="I27" s="42" t="str">
        <f t="array" aca="1" ref="I27" ca="1">IF(ROW($A21)&gt;COUNTIF(COLN,WHERE),"",INDEX(DATE,SMALL(IF(COLN=WHERE,ROW(COLN)-1,""),ROW($A21))))</f>
        <v/>
      </c>
      <c r="J27" s="38" t="str">
        <f t="array" aca="1" ref="J27" ca="1">IF(ROW($A21)&gt;COUNTIF(COLN,WHERE),"",INDEX(categorie,SMALL(IF(COLN=WHERE,ROW(COLN)-1,""),ROW($A21))))</f>
        <v/>
      </c>
      <c r="K27" s="38" t="str">
        <f t="array" aca="1" ref="K27" ca="1">IF(ROW($A21)&gt;COUNTIF(COLN,WHERE),"",INDEX(PRODUIT,SMALL(IF(COLN=WHERE,ROW(COLN)-1,""),ROW($A21))))</f>
        <v/>
      </c>
      <c r="L27" s="56" t="str">
        <f t="array" aca="1" ref="L27" ca="1">IF(ROW($A21)&gt;COUNTIF(COLN,WHERE),"",INDEX(NB.HA,SMALL(IF(COLN=WHERE,ROW(COLN)-1,""),ROW($A21))))</f>
        <v/>
      </c>
      <c r="M27" s="39" t="str">
        <f t="array" aca="1" ref="M27" ca="1">IF(ROW($A21)&gt;COUNTIF(COLN,WHERE),"",INDEX(QTE.HA,SMALL(IF(COLN=WHERE,ROW(COLN)-1,""),ROW($A21))))</f>
        <v/>
      </c>
      <c r="N27" s="55" t="str">
        <f t="array" aca="1" ref="N27" ca="1">IF(ROW($A21)&gt;COUNTIF(COLN,WHERE),"",INDEX(MONTANT,SMALL(IF(COLN=WHERE,ROW(COLN)-1,""),ROW($A21))))</f>
        <v/>
      </c>
      <c r="O27" s="47"/>
      <c r="P27" s="14"/>
      <c r="S27" s="128" t="str">
        <f ca="1"/>
        <v/>
      </c>
    </row>
    <row r="28" spans="2:19" ht="23" customHeight="1">
      <c r="B28" s="46"/>
      <c r="C28" s="26"/>
      <c r="D28" s="28"/>
      <c r="E28" s="29"/>
      <c r="F28" s="30"/>
      <c r="G28" s="27"/>
      <c r="H28" s="14"/>
      <c r="I28" s="42" t="str">
        <f t="array" aca="1" ref="I28" ca="1">IF(ROW($A22)&gt;COUNTIF(COLN,WHERE),"",INDEX(DATE,SMALL(IF(COLN=WHERE,ROW(COLN)-1,""),ROW($A22))))</f>
        <v/>
      </c>
      <c r="J28" s="38" t="str">
        <f t="array" aca="1" ref="J28" ca="1">IF(ROW($A22)&gt;COUNTIF(COLN,WHERE),"",INDEX(categorie,SMALL(IF(COLN=WHERE,ROW(COLN)-1,""),ROW($A22))))</f>
        <v/>
      </c>
      <c r="K28" s="38" t="str">
        <f t="array" aca="1" ref="K28" ca="1">IF(ROW($A22)&gt;COUNTIF(COLN,WHERE),"",INDEX(PRODUIT,SMALL(IF(COLN=WHERE,ROW(COLN)-1,""),ROW($A22))))</f>
        <v/>
      </c>
      <c r="L28" s="56" t="str">
        <f t="array" aca="1" ref="L28" ca="1">IF(ROW($A22)&gt;COUNTIF(COLN,WHERE),"",INDEX(NB.HA,SMALL(IF(COLN=WHERE,ROW(COLN)-1,""),ROW($A22))))</f>
        <v/>
      </c>
      <c r="M28" s="39" t="str">
        <f t="array" aca="1" ref="M28" ca="1">IF(ROW($A22)&gt;COUNTIF(COLN,WHERE),"",INDEX(QTE.HA,SMALL(IF(COLN=WHERE,ROW(COLN)-1,""),ROW($A22))))</f>
        <v/>
      </c>
      <c r="N28" s="55" t="str">
        <f t="array" aca="1" ref="N28" ca="1">IF(ROW($A22)&gt;COUNTIF(COLN,WHERE),"",INDEX(MONTANT,SMALL(IF(COLN=WHERE,ROW(COLN)-1,""),ROW($A22))))</f>
        <v/>
      </c>
      <c r="O28" s="47"/>
      <c r="P28" s="14"/>
    </row>
    <row r="29" spans="2:19" ht="23" customHeight="1">
      <c r="B29" s="46"/>
      <c r="C29" s="26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9" ht="23" customHeight="1">
      <c r="B30" s="46"/>
      <c r="C30" s="26"/>
      <c r="D30" s="89"/>
      <c r="E30" s="92" t="s">
        <v>120</v>
      </c>
      <c r="F30" s="72">
        <v>60</v>
      </c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9" ht="23" customHeight="1">
      <c r="B31" s="46"/>
      <c r="C31" s="26"/>
      <c r="D31" s="90"/>
      <c r="E31" s="91" t="s">
        <v>118</v>
      </c>
      <c r="F31" s="73">
        <v>190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9" ht="23" customHeight="1">
      <c r="B32" s="46"/>
      <c r="C32" s="26"/>
      <c r="D32" s="90"/>
      <c r="E32" s="91" t="s">
        <v>121</v>
      </c>
      <c r="F32" s="73"/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74" t="s">
        <v>122</v>
      </c>
      <c r="E33" s="75"/>
      <c r="F33" s="93" t="e">
        <f>((((F30*F11)/10)*F31)+(F32*F11))/F11</f>
        <v>#N/A</v>
      </c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6"/>
      <c r="E34" s="4"/>
      <c r="F34" s="4"/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94" t="s">
        <v>119</v>
      </c>
      <c r="E35" s="95"/>
      <c r="F35" s="96" t="e">
        <f ca="1">(F33*F11)-F14</f>
        <v>#N/A</v>
      </c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8"/>
      <c r="D36" s="41"/>
      <c r="E36" s="29"/>
      <c r="F36" s="29"/>
      <c r="G36" s="30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 thickBot="1"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1"/>
      <c r="P37" s="14"/>
    </row>
    <row r="38" spans="2:16" ht="23" customHeight="1">
      <c r="H38" s="14"/>
      <c r="I38" s="14"/>
      <c r="J38" s="14"/>
      <c r="K38" s="14"/>
      <c r="L38" s="58"/>
      <c r="M38" s="14"/>
      <c r="N38" s="14"/>
      <c r="O38" s="14"/>
      <c r="P38" s="14"/>
    </row>
    <row r="39" spans="2:16" ht="23" customHeight="1" outlineLevel="1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outlineLevel="1">
      <c r="C46" s="14"/>
      <c r="D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G66" s="14"/>
      <c r="H66" s="14"/>
      <c r="I66" s="14"/>
      <c r="J66" s="14"/>
      <c r="K66" s="14"/>
      <c r="L66" s="14"/>
      <c r="M66" s="14"/>
      <c r="N66" s="14"/>
      <c r="O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</sheetData>
  <dataConsolidate/>
  <mergeCells count="1">
    <mergeCell ref="C3:G4"/>
  </mergeCells>
  <dataValidations count="2">
    <dataValidation type="list" allowBlank="1" showInputMessage="1" showErrorMessage="1" sqref="F8">
      <formula1>Liste_Culture</formula1>
    </dataValidation>
    <dataValidation type="list" allowBlank="1" showInputMessage="1" showErrorMessage="1" sqref="F7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tabSelected="1" workbookViewId="0">
      <selection activeCell="E23" sqref="E23"/>
    </sheetView>
  </sheetViews>
  <sheetFormatPr baseColWidth="10" defaultRowHeight="15" x14ac:dyDescent="0"/>
  <cols>
    <col min="3" max="3" width="26.33203125" bestFit="1" customWidth="1"/>
    <col min="4" max="4" width="15.1640625" bestFit="1" customWidth="1"/>
    <col min="5" max="5" width="28.6640625" bestFit="1" customWidth="1"/>
    <col min="8" max="8" width="21.5" bestFit="1" customWidth="1"/>
    <col min="9" max="9" width="19.6640625" customWidth="1"/>
  </cols>
  <sheetData>
    <row r="1" spans="1:12" ht="16" thickBot="1">
      <c r="A1" s="14"/>
      <c r="B1" s="14"/>
      <c r="C1" s="14"/>
      <c r="D1" s="14"/>
      <c r="E1" s="14"/>
      <c r="F1" s="14"/>
      <c r="G1" s="144"/>
      <c r="H1" s="144"/>
      <c r="I1" s="144"/>
      <c r="J1" s="144"/>
      <c r="K1" s="144"/>
      <c r="L1" s="144"/>
    </row>
    <row r="2" spans="1:12">
      <c r="B2" s="43"/>
      <c r="C2" s="145"/>
      <c r="D2" s="145"/>
      <c r="E2" s="145"/>
      <c r="F2" s="145"/>
      <c r="G2" s="146"/>
      <c r="H2" s="146"/>
      <c r="I2" s="146"/>
      <c r="J2" s="147"/>
      <c r="K2" s="144"/>
      <c r="L2" s="144"/>
    </row>
    <row r="3" spans="1:12">
      <c r="B3" s="46"/>
      <c r="C3" s="148" t="s">
        <v>192</v>
      </c>
      <c r="D3" s="149"/>
      <c r="E3" s="149"/>
      <c r="F3" s="149"/>
      <c r="G3" s="149"/>
      <c r="H3" s="149"/>
      <c r="I3" s="150"/>
      <c r="J3" s="151"/>
      <c r="K3" s="144"/>
      <c r="L3" s="144"/>
    </row>
    <row r="4" spans="1:12">
      <c r="B4" s="46"/>
      <c r="C4" s="152"/>
      <c r="D4" s="153"/>
      <c r="E4" s="153"/>
      <c r="F4" s="153"/>
      <c r="G4" s="153"/>
      <c r="H4" s="153"/>
      <c r="I4" s="154"/>
      <c r="J4" s="155"/>
      <c r="K4" s="144"/>
      <c r="L4" s="144"/>
    </row>
    <row r="5" spans="1:12" ht="20">
      <c r="B5" s="46"/>
      <c r="C5" s="156"/>
      <c r="D5" s="156"/>
      <c r="E5" s="156"/>
      <c r="F5" s="156"/>
      <c r="G5" s="157"/>
      <c r="H5" s="157"/>
      <c r="I5" s="157"/>
      <c r="J5" s="158"/>
      <c r="K5" s="159"/>
      <c r="L5" s="159"/>
    </row>
    <row r="6" spans="1:12" s="214" customFormat="1" ht="28" customHeight="1">
      <c r="B6" s="215"/>
      <c r="C6" s="175" t="s">
        <v>1</v>
      </c>
      <c r="D6" s="176"/>
      <c r="E6" s="177">
        <v>2013</v>
      </c>
      <c r="F6" s="191"/>
      <c r="G6" s="178" t="s">
        <v>122</v>
      </c>
      <c r="H6" s="216"/>
      <c r="I6" s="179">
        <f ca="1">((((I7*E12)/10)*I9)+(I10*E12))/E12</f>
        <v>1540</v>
      </c>
      <c r="J6" s="180"/>
      <c r="K6" s="181"/>
      <c r="L6" s="182"/>
    </row>
    <row r="7" spans="1:12" s="214" customFormat="1" ht="28" customHeight="1">
      <c r="B7" s="215"/>
      <c r="C7" s="183" t="s">
        <v>48</v>
      </c>
      <c r="D7" s="184"/>
      <c r="E7" s="185" t="s">
        <v>77</v>
      </c>
      <c r="F7" s="191"/>
      <c r="G7" s="186"/>
      <c r="H7" s="222" t="s">
        <v>120</v>
      </c>
      <c r="I7" s="224">
        <v>60</v>
      </c>
      <c r="J7" s="180"/>
      <c r="K7" s="181"/>
      <c r="L7" s="182"/>
    </row>
    <row r="8" spans="1:12" s="214" customFormat="1" ht="28" customHeight="1">
      <c r="B8" s="215"/>
      <c r="C8" s="183" t="s">
        <v>61</v>
      </c>
      <c r="D8" s="184"/>
      <c r="E8" s="185"/>
      <c r="F8" s="191"/>
      <c r="G8" s="186"/>
      <c r="H8" s="222"/>
      <c r="I8" s="224"/>
      <c r="J8" s="180"/>
      <c r="K8" s="181"/>
      <c r="L8" s="182"/>
    </row>
    <row r="9" spans="1:12" s="214" customFormat="1" ht="28" customHeight="1">
      <c r="B9" s="215"/>
      <c r="C9" s="187" t="s">
        <v>49</v>
      </c>
      <c r="D9" s="188"/>
      <c r="E9" s="189" t="s">
        <v>58</v>
      </c>
      <c r="F9" s="191"/>
      <c r="G9" s="186"/>
      <c r="H9" s="222" t="s">
        <v>118</v>
      </c>
      <c r="I9" s="225">
        <v>190</v>
      </c>
      <c r="J9" s="180"/>
      <c r="K9" s="181"/>
      <c r="L9" s="182"/>
    </row>
    <row r="10" spans="1:12" s="214" customFormat="1" ht="18">
      <c r="B10" s="215"/>
      <c r="C10" s="191"/>
      <c r="D10" s="191"/>
      <c r="E10" s="191"/>
      <c r="F10" s="191"/>
      <c r="G10" s="190"/>
      <c r="H10" s="223" t="s">
        <v>121</v>
      </c>
      <c r="I10" s="226">
        <v>400</v>
      </c>
      <c r="J10" s="180"/>
      <c r="K10" s="181"/>
      <c r="L10" s="182"/>
    </row>
    <row r="11" spans="1:12" s="214" customFormat="1" ht="16">
      <c r="B11" s="215"/>
      <c r="C11" s="191"/>
      <c r="D11" s="191"/>
      <c r="E11" s="191"/>
      <c r="F11" s="191"/>
      <c r="G11" s="217"/>
      <c r="H11" s="217"/>
      <c r="I11" s="217"/>
      <c r="J11" s="180"/>
      <c r="K11" s="181"/>
      <c r="L11" s="182"/>
    </row>
    <row r="12" spans="1:12" s="214" customFormat="1" ht="26" customHeight="1">
      <c r="B12" s="215"/>
      <c r="C12" s="192" t="s">
        <v>62</v>
      </c>
      <c r="D12" s="193"/>
      <c r="E12" s="194">
        <f ca="1">SUMPRODUCT((paran=E6)*(parcult=E7)*(parvar=E9)*(parsurf))</f>
        <v>17.55</v>
      </c>
      <c r="F12" s="191"/>
      <c r="G12" s="195" t="s">
        <v>119</v>
      </c>
      <c r="H12" s="218"/>
      <c r="I12" s="196">
        <f ca="1">(I6*E12)-E14</f>
        <v>7082.4351411646821</v>
      </c>
      <c r="J12" s="180"/>
      <c r="K12" s="181"/>
      <c r="L12" s="182"/>
    </row>
    <row r="13" spans="1:12" s="214" customFormat="1" ht="16">
      <c r="B13" s="215"/>
      <c r="C13" s="219"/>
      <c r="D13" s="219"/>
      <c r="E13" s="219"/>
      <c r="F13" s="191"/>
      <c r="G13" s="197"/>
      <c r="H13" s="198"/>
      <c r="I13" s="198"/>
      <c r="J13" s="180"/>
      <c r="K13" s="181"/>
      <c r="L13" s="182"/>
    </row>
    <row r="14" spans="1:12" s="214" customFormat="1" ht="25" customHeight="1">
      <c r="B14" s="215"/>
      <c r="C14" s="199" t="s">
        <v>106</v>
      </c>
      <c r="D14" s="200"/>
      <c r="E14" s="201">
        <f ca="1">SUM(E15:E19)</f>
        <v>19944.564858835318</v>
      </c>
      <c r="F14" s="191"/>
      <c r="G14" s="202"/>
      <c r="H14" s="203"/>
      <c r="I14" s="204"/>
      <c r="J14" s="180"/>
      <c r="K14" s="181"/>
      <c r="L14" s="182"/>
    </row>
    <row r="15" spans="1:12" s="214" customFormat="1" ht="25" customHeight="1">
      <c r="B15" s="215"/>
      <c r="C15" s="205"/>
      <c r="D15" s="220" t="s">
        <v>37</v>
      </c>
      <c r="E15" s="221">
        <f ca="1">SUMPRODUCT(--(campagne=$E$6)*(indice=1)*(categorie=D15)*(MONTANT))</f>
        <v>3427.6215750000001</v>
      </c>
      <c r="F15" s="191"/>
      <c r="G15" s="206"/>
      <c r="H15" s="164"/>
      <c r="I15" s="207"/>
      <c r="J15" s="180"/>
      <c r="K15" s="181"/>
      <c r="L15" s="182"/>
    </row>
    <row r="16" spans="1:12" s="214" customFormat="1" ht="25" customHeight="1">
      <c r="B16" s="215"/>
      <c r="C16" s="205"/>
      <c r="D16" s="220" t="s">
        <v>8</v>
      </c>
      <c r="E16" s="221">
        <f ca="1">SUMPRODUCT(--(campagne=$E$6)*(indice=1)*(categorie=D16)*(MONTANT))</f>
        <v>9859.1277713048858</v>
      </c>
      <c r="F16" s="191"/>
      <c r="G16" s="206"/>
      <c r="H16" s="164"/>
      <c r="I16" s="207"/>
      <c r="J16" s="180"/>
      <c r="K16" s="181"/>
      <c r="L16" s="182"/>
    </row>
    <row r="17" spans="2:12" s="214" customFormat="1" ht="25" customHeight="1">
      <c r="B17" s="215"/>
      <c r="C17" s="205"/>
      <c r="D17" s="220" t="s">
        <v>15</v>
      </c>
      <c r="E17" s="221">
        <f ca="1">SUMPRODUCT(--(campagne=$E$6)*(indice=1)*(categorie=D17)*(MONTANT))</f>
        <v>5301.3098841304345</v>
      </c>
      <c r="F17" s="191"/>
      <c r="G17" s="206"/>
      <c r="H17" s="164"/>
      <c r="I17" s="207"/>
      <c r="J17" s="180"/>
      <c r="K17" s="181"/>
      <c r="L17" s="182"/>
    </row>
    <row r="18" spans="2:12" s="214" customFormat="1" ht="25" customHeight="1">
      <c r="B18" s="215"/>
      <c r="C18" s="205"/>
      <c r="D18" s="220" t="s">
        <v>31</v>
      </c>
      <c r="E18" s="221">
        <f ca="1">SUMPRODUCT(--(campagne=$E$6)*(indice=1)*(categorie=D18)*(MONTANT))</f>
        <v>1356.5056284</v>
      </c>
      <c r="F18" s="191"/>
      <c r="G18" s="206"/>
      <c r="H18" s="164"/>
      <c r="I18" s="207"/>
      <c r="J18" s="180"/>
      <c r="K18" s="181"/>
      <c r="L18" s="182"/>
    </row>
    <row r="19" spans="2:12" s="214" customFormat="1" ht="25" customHeight="1">
      <c r="B19" s="215"/>
      <c r="C19" s="205"/>
      <c r="D19" s="220" t="s">
        <v>102</v>
      </c>
      <c r="E19" s="221">
        <f ca="1">SUMPRODUCT(--(campagne=$E$6)*(indice=1)*(categorie=D19)*(MONTANT))</f>
        <v>0</v>
      </c>
      <c r="F19" s="191"/>
      <c r="G19" s="206"/>
      <c r="H19" s="164"/>
      <c r="I19" s="207"/>
      <c r="J19" s="180"/>
      <c r="K19" s="181"/>
      <c r="L19" s="182"/>
    </row>
    <row r="20" spans="2:12" s="214" customFormat="1" ht="25" customHeight="1">
      <c r="B20" s="215"/>
      <c r="C20" s="208" t="s">
        <v>103</v>
      </c>
      <c r="D20" s="209"/>
      <c r="E20" s="210">
        <f ca="1">E14/E12</f>
        <v>1136.4424420988785</v>
      </c>
      <c r="F20" s="191"/>
      <c r="G20" s="211"/>
      <c r="H20" s="212"/>
      <c r="I20" s="213"/>
      <c r="J20" s="180"/>
      <c r="K20" s="181"/>
      <c r="L20" s="182"/>
    </row>
    <row r="21" spans="2:12" ht="17" thickBot="1">
      <c r="B21" s="49"/>
      <c r="C21" s="165"/>
      <c r="D21" s="165"/>
      <c r="E21" s="166"/>
      <c r="F21" s="167"/>
      <c r="G21" s="168"/>
      <c r="H21" s="169"/>
      <c r="I21" s="169"/>
      <c r="J21" s="170"/>
      <c r="K21" s="160"/>
      <c r="L21" s="161"/>
    </row>
    <row r="22" spans="2:12" ht="16">
      <c r="B22" s="14"/>
      <c r="C22" s="156"/>
      <c r="D22" s="156"/>
      <c r="E22" s="156"/>
      <c r="F22" s="156"/>
      <c r="G22" s="162"/>
      <c r="H22" s="163"/>
      <c r="I22" s="163"/>
      <c r="J22" s="171"/>
      <c r="K22" s="160"/>
      <c r="L22" s="161"/>
    </row>
  </sheetData>
  <mergeCells count="1">
    <mergeCell ref="C3:I4"/>
  </mergeCells>
  <dataValidations count="3">
    <dataValidation type="list" allowBlank="1" showInputMessage="1" showErrorMessage="1" sqref="E9">
      <formula1>OFFSET(DEPT,,MATCH($E$7,CULTURE,0)-1,6)</formula1>
    </dataValidation>
    <dataValidation type="list" allowBlank="1" showInputMessage="1" showErrorMessage="1" sqref="E7">
      <formula1>CULTURE</formula1>
    </dataValidation>
    <dataValidation type="list" allowBlank="1" showInputMessage="1" showErrorMessage="1" sqref="E6">
      <formula1>Liste_Annee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8000"/>
  </sheetPr>
  <dimension ref="B1:P85"/>
  <sheetViews>
    <sheetView showGridLines="0" zoomScale="90" zoomScaleNormal="90" zoomScalePageLayoutView="90" workbookViewId="0">
      <selection activeCell="H19" sqref="H19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20" bestFit="1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35" customWidth="1"/>
    <col min="18" max="18" width="10.83203125" customWidth="1"/>
  </cols>
  <sheetData>
    <row r="1" spans="2:16" ht="16" thickBot="1"/>
    <row r="2" spans="2:16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6">
      <c r="B3" s="46"/>
      <c r="C3" s="138" t="s">
        <v>105</v>
      </c>
      <c r="D3" s="139"/>
      <c r="E3" s="139"/>
      <c r="F3" s="139"/>
      <c r="G3" s="140"/>
      <c r="H3" s="14"/>
      <c r="I3" s="14"/>
      <c r="J3" s="14"/>
      <c r="K3" s="14"/>
      <c r="L3" s="14"/>
      <c r="M3" s="14"/>
      <c r="N3" s="14"/>
      <c r="O3" s="47"/>
      <c r="P3" s="14"/>
    </row>
    <row r="4" spans="2:16" ht="11" customHeight="1">
      <c r="B4" s="46"/>
      <c r="C4" s="141"/>
      <c r="D4" s="142"/>
      <c r="E4" s="142"/>
      <c r="F4" s="142"/>
      <c r="G4" s="143"/>
      <c r="H4" s="14"/>
      <c r="I4" s="14"/>
      <c r="J4" s="14"/>
      <c r="K4" s="14"/>
      <c r="L4" s="57"/>
      <c r="M4" s="14"/>
      <c r="N4" s="14"/>
      <c r="O4" s="47"/>
      <c r="P4" s="14"/>
    </row>
    <row r="5" spans="2:16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6" ht="23" customHeight="1">
      <c r="B6" s="46"/>
      <c r="C6" s="23"/>
      <c r="D6" s="24"/>
      <c r="E6" s="24"/>
      <c r="F6" s="24"/>
      <c r="G6" s="25"/>
      <c r="H6" s="14"/>
      <c r="I6" s="234" t="s">
        <v>0</v>
      </c>
      <c r="J6" s="235" t="s">
        <v>99</v>
      </c>
      <c r="K6" s="235" t="s">
        <v>3</v>
      </c>
      <c r="L6" s="235" t="s">
        <v>104</v>
      </c>
      <c r="M6" s="235" t="s">
        <v>100</v>
      </c>
      <c r="N6" s="236" t="s">
        <v>101</v>
      </c>
      <c r="O6" s="47"/>
      <c r="P6" s="14"/>
    </row>
    <row r="7" spans="2:16" ht="23" customHeight="1">
      <c r="B7" s="46"/>
      <c r="C7" s="26"/>
      <c r="D7" s="64" t="s">
        <v>1</v>
      </c>
      <c r="E7" s="65"/>
      <c r="F7" s="66">
        <v>2013</v>
      </c>
      <c r="G7" s="27"/>
      <c r="H7" s="14"/>
      <c r="I7" s="42">
        <f t="array" aca="1" ref="I7" ca="1">IF(ROW($A1)&gt;COUNTIF(COLN,WHERE),"",INDEX(DATE,SMALL(IF(COLN=WHERE,ROW(COLN)-1,""),ROW($A1))))</f>
        <v>41113</v>
      </c>
      <c r="J7" s="38" t="str">
        <f t="array" aca="1" ref="J7" ca="1">IF(ROW($A1)&gt;COUNTIF(COLN,WHERE),"",INDEX(categorie,SMALL(IF(COLN=WHERE,ROW(COLN)-1,""),ROW($A1))))</f>
        <v>ENGRAIS</v>
      </c>
      <c r="K7" s="38" t="str">
        <f t="array" aca="1" ref="K7" ca="1">IF(ROW($A1)&gt;COUNTIF(COLN,WHERE),"",INDEX(PRODUIT,SMALL(IF(COLN=WHERE,ROW(COLN)-1,""),ROW($A1))))</f>
        <v>Physiolith</v>
      </c>
      <c r="L7" s="56">
        <f t="array" aca="1" ref="L7" ca="1">IF(ROW($A1)&gt;COUNTIF(COLN,WHERE),"",INDEX(NB.HA,SMALL(IF(COLN=WHERE,ROW(COLN)-1,""),ROW($A1))))</f>
        <v>17.55</v>
      </c>
      <c r="M7" s="39">
        <f t="array" aca="1" ref="M7" ca="1">IF(ROW($A1)&gt;COUNTIF(COLN,WHERE),"",INDEX(QTE.HA,SMALL(IF(COLN=WHERE,ROW(COLN)-1,""),ROW($A1))))</f>
        <v>600</v>
      </c>
      <c r="N7" s="55">
        <f t="array" aca="1" ref="N7" ca="1">IF(ROW($A1)&gt;COUNTIF(COLN,WHERE),"",INDEX(MONTANT,SMALL(IF(COLN=WHERE,ROW(COLN)-1,""),ROW($A1))))</f>
        <v>2271.1295454545452</v>
      </c>
      <c r="O7" s="47"/>
      <c r="P7" s="14"/>
    </row>
    <row r="8" spans="2:16" ht="23" customHeight="1">
      <c r="B8" s="46"/>
      <c r="C8" s="26"/>
      <c r="D8" s="67" t="s">
        <v>61</v>
      </c>
      <c r="E8" s="68"/>
      <c r="F8" s="69" t="s">
        <v>160</v>
      </c>
      <c r="G8" s="27"/>
      <c r="H8" s="14"/>
      <c r="I8" s="42">
        <f t="array" aca="1" ref="I8" ca="1">IF(ROW($A2)&gt;COUNTIF(COLN,WHERE),"",INDEX(DATE,SMALL(IF(COLN=WHERE,ROW(COLN)-1,""),ROW($A2))))</f>
        <v>41177</v>
      </c>
      <c r="J8" s="38" t="str">
        <f t="array" aca="1" ref="J8" ca="1">IF(ROW($A2)&gt;COUNTIF(COLN,WHERE),"",INDEX(categorie,SMALL(IF(COLN=WHERE,ROW(COLN)-1,""),ROW($A2))))</f>
        <v>ENGRAIS</v>
      </c>
      <c r="K8" s="38" t="str">
        <f t="array" aca="1" ref="K8" ca="1">IF(ROW($A2)&gt;COUNTIF(COLN,WHERE),"",INDEX(PRODUIT,SMALL(IF(COLN=WHERE,ROW(COLN)-1,""),ROW($A2))))</f>
        <v>Terragral</v>
      </c>
      <c r="L8" s="56">
        <f t="array" aca="1" ref="L8" ca="1">IF(ROW($A2)&gt;COUNTIF(COLN,WHERE),"",INDEX(NB.HA,SMALL(IF(COLN=WHERE,ROW(COLN)-1,""),ROW($A2))))</f>
        <v>17.55</v>
      </c>
      <c r="M8" s="39">
        <f t="array" aca="1" ref="M8" ca="1">IF(ROW($A2)&gt;COUNTIF(COLN,WHERE),"",INDEX(QTE.HA,SMALL(IF(COLN=WHERE,ROW(COLN)-1,""),ROW($A2))))</f>
        <v>545</v>
      </c>
      <c r="N8" s="55">
        <f t="array" aca="1" ref="N8" ca="1">IF(ROW($A2)&gt;COUNTIF(COLN,WHERE),"",INDEX(MONTANT,SMALL(IF(COLN=WHERE,ROW(COLN)-1,""),ROW($A2))))</f>
        <v>2104.2449999999999</v>
      </c>
      <c r="O8" s="47"/>
      <c r="P8" s="14"/>
    </row>
    <row r="9" spans="2:16" ht="23" customHeight="1">
      <c r="B9" s="46"/>
      <c r="C9" s="26"/>
      <c r="D9" s="86"/>
      <c r="E9" s="86"/>
      <c r="F9" s="86"/>
      <c r="G9" s="27"/>
      <c r="H9" s="14"/>
      <c r="I9" s="42">
        <f t="array" aca="1" ref="I9" ca="1">IF(ROW($A3)&gt;COUNTIF(COLN,WHERE),"",INDEX(DATE,SMALL(IF(COLN=WHERE,ROW(COLN)-1,""),ROW($A3))))</f>
        <v>41205</v>
      </c>
      <c r="J9" s="38" t="str">
        <f t="array" aca="1" ref="J9" ca="1">IF(ROW($A3)&gt;COUNTIF(COLN,WHERE),"",INDEX(categorie,SMALL(IF(COLN=WHERE,ROW(COLN)-1,""),ROW($A3))))</f>
        <v>DESHERBANT</v>
      </c>
      <c r="K9" s="38" t="str">
        <f t="array" aca="1" ref="K9" ca="1">IF(ROW($A3)&gt;COUNTIF(COLN,WHERE),"",INDEX(PRODUIT,SMALL(IF(COLN=WHERE,ROW(COLN)-1,""),ROW($A3))))</f>
        <v>Glyphosate</v>
      </c>
      <c r="L9" s="56">
        <f t="array" aca="1" ref="L9" ca="1">IF(ROW($A3)&gt;COUNTIF(COLN,WHERE),"",INDEX(NB.HA,SMALL(IF(COLN=WHERE,ROW(COLN)-1,""),ROW($A3))))</f>
        <v>17.55</v>
      </c>
      <c r="M9" s="39">
        <f t="array" aca="1" ref="M9" ca="1">IF(ROW($A3)&gt;COUNTIF(COLN,WHERE),"",INDEX(QTE.HA,SMALL(IF(COLN=WHERE,ROW(COLN)-1,""),ROW($A3))))</f>
        <v>1</v>
      </c>
      <c r="N9" s="55">
        <f t="array" aca="1" ref="N9" ca="1">IF(ROW($A3)&gt;COUNTIF(COLN,WHERE),"",INDEX(MONTANT,SMALL(IF(COLN=WHERE,ROW(COLN)-1,""),ROW($A3))))</f>
        <v>86.664570652173921</v>
      </c>
      <c r="O9" s="47"/>
      <c r="P9" s="14"/>
    </row>
    <row r="10" spans="2:16" ht="23" customHeight="1">
      <c r="B10" s="46"/>
      <c r="C10" s="26"/>
      <c r="D10" s="77" t="s">
        <v>104</v>
      </c>
      <c r="E10" s="78"/>
      <c r="F10" s="87">
        <f>VLOOKUP(WHERE,PARCELLAIRE!$D$2:$F$29,3,FALSE)</f>
        <v>17.55</v>
      </c>
      <c r="G10" s="27"/>
      <c r="H10" s="14"/>
      <c r="I10" s="42">
        <f t="array" aca="1" ref="I10" ca="1">IF(ROW($A4)&gt;COUNTIF(COLN,WHERE),"",INDEX(DATE,SMALL(IF(COLN=WHERE,ROW(COLN)-1,""),ROW($A4))))</f>
        <v>41205</v>
      </c>
      <c r="J10" s="38" t="str">
        <f t="array" aca="1" ref="J10" ca="1">IF(ROW($A4)&gt;COUNTIF(COLN,WHERE),"",INDEX(categorie,SMALL(IF(COLN=WHERE,ROW(COLN)-1,""),ROW($A4))))</f>
        <v>DIVERS</v>
      </c>
      <c r="K10" s="38" t="str">
        <f t="array" aca="1" ref="K10" ca="1">IF(ROW($A4)&gt;COUNTIF(COLN,WHERE),"",INDEX(PRODUIT,SMALL(IF(COLN=WHERE,ROW(COLN)-1,""),ROW($A4))))</f>
        <v>Heliosol</v>
      </c>
      <c r="L10" s="56">
        <f t="array" aca="1" ref="L10" ca="1">IF(ROW($A4)&gt;COUNTIF(COLN,WHERE),"",INDEX(NB.HA,SMALL(IF(COLN=WHERE,ROW(COLN)-1,""),ROW($A4))))</f>
        <v>17.55</v>
      </c>
      <c r="M10" s="39">
        <f t="array" aca="1" ref="M10" ca="1">IF(ROW($A4)&gt;COUNTIF(COLN,WHERE),"",INDEX(QTE.HA,SMALL(IF(COLN=WHERE,ROW(COLN)-1,""),ROW($A4))))</f>
        <v>0.2</v>
      </c>
      <c r="N10" s="55">
        <f t="array" aca="1" ref="N10" ca="1">IF(ROW($A4)&gt;COUNTIF(COLN,WHERE),"",INDEX(MONTANT,SMALL(IF(COLN=WHERE,ROW(COLN)-1,""),ROW($A4))))</f>
        <v>38.645099999999999</v>
      </c>
      <c r="O10" s="47"/>
      <c r="P10" s="14"/>
    </row>
    <row r="11" spans="2:16" ht="23" customHeight="1">
      <c r="B11" s="46"/>
      <c r="C11" s="26"/>
      <c r="D11" s="80" t="s">
        <v>48</v>
      </c>
      <c r="E11" s="88"/>
      <c r="F11" s="227" t="e">
        <f>IF(WHEN=UTILISATIONS!A:A,INDEX(PARCELLAIRE!A:D,MATCH(WHERE,PARCELLAIRE!D:D,2),0))</f>
        <v>#VALUE!</v>
      </c>
      <c r="G11" s="27"/>
      <c r="H11" s="14"/>
      <c r="I11" s="42">
        <f t="array" aca="1" ref="I11" ca="1">IF(ROW($A5)&gt;COUNTIF(COLN,WHERE),"",INDEX(DATE,SMALL(IF(COLN=WHERE,ROW(COLN)-1,""),ROW($A5))))</f>
        <v>41206</v>
      </c>
      <c r="J11" s="38" t="str">
        <f t="array" aca="1" ref="J11" ca="1">IF(ROW($A5)&gt;COUNTIF(COLN,WHERE),"",INDEX(categorie,SMALL(IF(COLN=WHERE,ROW(COLN)-1,""),ROW($A5))))</f>
        <v>SEMENCES</v>
      </c>
      <c r="K11" s="38" t="str">
        <f t="array" aca="1" ref="K11" ca="1">IF(ROW($A5)&gt;COUNTIF(COLN,WHERE),"",INDEX(PRODUIT,SMALL(IF(COLN=WHERE,ROW(COLN)-1,""),ROW($A5))))</f>
        <v>Soleiho Certifiées</v>
      </c>
      <c r="L11" s="56">
        <f t="array" aca="1" ref="L11" ca="1">IF(ROW($A5)&gt;COUNTIF(COLN,WHERE),"",INDEX(NB.HA,SMALL(IF(COLN=WHERE,ROW(COLN)-1,""),ROW($A5))))</f>
        <v>17.55</v>
      </c>
      <c r="M11" s="39">
        <f t="array" aca="1" ref="M11" ca="1">IF(ROW($A5)&gt;COUNTIF(COLN,WHERE),"",INDEX(QTE.HA,SMALL(IF(COLN=WHERE,ROW(COLN)-1,""),ROW($A5))))</f>
        <v>153</v>
      </c>
      <c r="N11" s="55">
        <f t="array" aca="1" ref="N11" ca="1">IF(ROW($A5)&gt;COUNTIF(COLN,WHERE),"",INDEX(MONTANT,SMALL(IF(COLN=WHERE,ROW(COLN)-1,""),ROW($A5))))</f>
        <v>1932.2637749999999</v>
      </c>
      <c r="O11" s="47"/>
      <c r="P11" s="14"/>
    </row>
    <row r="12" spans="2:16" ht="23" customHeight="1">
      <c r="B12" s="46"/>
      <c r="C12" s="26"/>
      <c r="D12" s="83" t="s">
        <v>49</v>
      </c>
      <c r="E12" s="84"/>
      <c r="F12" s="228" t="e">
        <f>IF(WHEN=UTILISATIONS!A:A,INDEX(PARCELLAIRE!A:D,MATCH(WHERE,PARCELLAIRE!D:D,2),0))</f>
        <v>#VALUE!</v>
      </c>
      <c r="G12" s="27"/>
      <c r="H12" s="14"/>
      <c r="I12" s="42">
        <f t="array" aca="1" ref="I12" ca="1">IF(ROW($A6)&gt;COUNTIF(COLN,WHERE),"",INDEX(DATE,SMALL(IF(COLN=WHERE,ROW(COLN)-1,""),ROW($A6))))</f>
        <v>41262</v>
      </c>
      <c r="J12" s="38" t="str">
        <f t="array" aca="1" ref="J12" ca="1">IF(ROW($A6)&gt;COUNTIF(COLN,WHERE),"",INDEX(categorie,SMALL(IF(COLN=WHERE,ROW(COLN)-1,""),ROW($A6))))</f>
        <v>DESHERBANT</v>
      </c>
      <c r="K12" s="38" t="str">
        <f t="array" aca="1" ref="K12" ca="1">IF(ROW($A6)&gt;COUNTIF(COLN,WHERE),"",INDEX(PRODUIT,SMALL(IF(COLN=WHERE,ROW(COLN)-1,""),ROW($A6))))</f>
        <v>Athlet</v>
      </c>
      <c r="L12" s="56">
        <f t="array" aca="1" ref="L12" ca="1">IF(ROW($A6)&gt;COUNTIF(COLN,WHERE),"",INDEX(NB.HA,SMALL(IF(COLN=WHERE,ROW(COLN)-1,""),ROW($A6))))</f>
        <v>17.55</v>
      </c>
      <c r="M12" s="39">
        <f t="array" aca="1" ref="M12" ca="1">IF(ROW($A6)&gt;COUNTIF(COLN,WHERE),"",INDEX(QTE.HA,SMALL(IF(COLN=WHERE,ROW(COLN)-1,""),ROW($A6))))</f>
        <v>3</v>
      </c>
      <c r="N12" s="55">
        <f t="array" aca="1" ref="N12" ca="1">IF(ROW($A6)&gt;COUNTIF(COLN,WHERE),"",INDEX(MONTANT,SMALL(IF(COLN=WHERE,ROW(COLN)-1,""),ROW($A6))))</f>
        <v>723.93750000000011</v>
      </c>
      <c r="O12" s="47"/>
      <c r="P12" s="14"/>
    </row>
    <row r="13" spans="2:16" ht="23" customHeight="1">
      <c r="B13" s="46"/>
      <c r="C13" s="26"/>
      <c r="D13" s="40"/>
      <c r="E13" s="40"/>
      <c r="F13" s="40"/>
      <c r="G13" s="27"/>
      <c r="H13" s="14"/>
      <c r="I13" s="42">
        <f t="array" aca="1" ref="I13" ca="1">IF(ROW($A7)&gt;COUNTIF(COLN,WHERE),"",INDEX(DATE,SMALL(IF(COLN=WHERE,ROW(COLN)-1,""),ROW($A7))))</f>
        <v>41324</v>
      </c>
      <c r="J13" s="38" t="str">
        <f t="array" aca="1" ref="J13" ca="1">IF(ROW($A7)&gt;COUNTIF(COLN,WHERE),"",INDEX(categorie,SMALL(IF(COLN=WHERE,ROW(COLN)-1,""),ROW($A7))))</f>
        <v>ENGRAIS</v>
      </c>
      <c r="K13" s="38" t="str">
        <f t="array" aca="1" ref="K13" ca="1">IF(ROW($A7)&gt;COUNTIF(COLN,WHERE),"",INDEX(PRODUIT,SMALL(IF(COLN=WHERE,ROW(COLN)-1,""),ROW($A7))))</f>
        <v>Urée</v>
      </c>
      <c r="L13" s="56">
        <f t="array" aca="1" ref="L13" ca="1">IF(ROW($A7)&gt;COUNTIF(COLN,WHERE),"",INDEX(NB.HA,SMALL(IF(COLN=WHERE,ROW(COLN)-1,""),ROW($A7))))</f>
        <v>17.55</v>
      </c>
      <c r="M13" s="39">
        <f t="array" aca="1" ref="M13" ca="1">IF(ROW($A7)&gt;COUNTIF(COLN,WHERE),"",INDEX(QTE.HA,SMALL(IF(COLN=WHERE,ROW(COLN)-1,""),ROW($A7))))</f>
        <v>150</v>
      </c>
      <c r="N13" s="55">
        <f t="array" aca="1" ref="N13" ca="1">IF(ROW($A7)&gt;COUNTIF(COLN,WHERE),"",INDEX(MONTANT,SMALL(IF(COLN=WHERE,ROW(COLN)-1,""),ROW($A7))))</f>
        <v>1102.5877040816326</v>
      </c>
      <c r="O13" s="47"/>
      <c r="P13" s="14"/>
    </row>
    <row r="14" spans="2:16" ht="23" customHeight="1">
      <c r="B14" s="46"/>
      <c r="C14" s="26"/>
      <c r="D14" s="77" t="s">
        <v>106</v>
      </c>
      <c r="E14" s="78"/>
      <c r="F14" s="79">
        <f ca="1">SUM(F15:F20)</f>
        <v>13066.795036190393</v>
      </c>
      <c r="G14" s="27"/>
      <c r="H14" s="14"/>
      <c r="I14" s="42">
        <f t="array" aca="1" ref="I14" ca="1">IF(ROW($A8)&gt;COUNTIF(COLN,WHERE),"",INDEX(DATE,SMALL(IF(COLN=WHERE,ROW(COLN)-1,""),ROW($A8))))</f>
        <v>41340</v>
      </c>
      <c r="J14" s="38" t="str">
        <f t="array" aca="1" ref="J14" ca="1">IF(ROW($A8)&gt;COUNTIF(COLN,WHERE),"",INDEX(categorie,SMALL(IF(COLN=WHERE,ROW(COLN)-1,""),ROW($A8))))</f>
        <v>DIVERS</v>
      </c>
      <c r="K14" s="38" t="str">
        <f t="array" aca="1" ref="K14" ca="1">IF(ROW($A8)&gt;COUNTIF(COLN,WHERE),"",INDEX(PRODUIT,SMALL(IF(COLN=WHERE,ROW(COLN)-1,""),ROW($A8))))</f>
        <v>Contreverse</v>
      </c>
      <c r="L14" s="56">
        <f t="array" aca="1" ref="L14" ca="1">IF(ROW($A8)&gt;COUNTIF(COLN,WHERE),"",INDEX(NB.HA,SMALL(IF(COLN=WHERE,ROW(COLN)-1,""),ROW($A8))))</f>
        <v>17.55</v>
      </c>
      <c r="M14" s="39">
        <f t="array" aca="1" ref="M14" ca="1">IF(ROW($A8)&gt;COUNTIF(COLN,WHERE),"",INDEX(QTE.HA,SMALL(IF(COLN=WHERE,ROW(COLN)-1,""),ROW($A8))))</f>
        <v>3</v>
      </c>
      <c r="N14" s="55">
        <f t="array" aca="1" ref="N14" ca="1">IF(ROW($A8)&gt;COUNTIF(COLN,WHERE),"",INDEX(MONTANT,SMALL(IF(COLN=WHERE,ROW(COLN)-1,""),ROW($A8))))</f>
        <v>87.399000000000001</v>
      </c>
      <c r="O14" s="47"/>
      <c r="P14" s="14"/>
    </row>
    <row r="15" spans="2:16" ht="23" customHeight="1">
      <c r="B15" s="46"/>
      <c r="C15" s="26"/>
      <c r="D15" s="80"/>
      <c r="E15" s="81" t="s">
        <v>37</v>
      </c>
      <c r="F15" s="82">
        <f ca="1">SUMIF($J$7:$J$37,E15,$N$7:$N$37)</f>
        <v>1932.2637749999999</v>
      </c>
      <c r="G15" s="27"/>
      <c r="H15" s="14"/>
      <c r="I15" s="42">
        <f t="array" aca="1" ref="I15" ca="1">IF(ROW($A9)&gt;COUNTIF(COLN,WHERE),"",INDEX(DATE,SMALL(IF(COLN=WHERE,ROW(COLN)-1,""),ROW($A9))))</f>
        <v>41340</v>
      </c>
      <c r="J15" s="38" t="str">
        <f t="array" aca="1" ref="J15" ca="1">IF(ROW($A9)&gt;COUNTIF(COLN,WHERE),"",INDEX(categorie,SMALL(IF(COLN=WHERE,ROW(COLN)-1,""),ROW($A9))))</f>
        <v>DIVERS</v>
      </c>
      <c r="K15" s="38" t="str">
        <f t="array" aca="1" ref="K15" ca="1">IF(ROW($A9)&gt;COUNTIF(COLN,WHERE),"",INDEX(PRODUIT,SMALL(IF(COLN=WHERE,ROW(COLN)-1,""),ROW($A9))))</f>
        <v>Effecto</v>
      </c>
      <c r="L15" s="56">
        <f t="array" aca="1" ref="L15" ca="1">IF(ROW($A9)&gt;COUNTIF(COLN,WHERE),"",INDEX(NB.HA,SMALL(IF(COLN=WHERE,ROW(COLN)-1,""),ROW($A9))))</f>
        <v>17.55</v>
      </c>
      <c r="M15" s="39">
        <f t="array" aca="1" ref="M15" ca="1">IF(ROW($A9)&gt;COUNTIF(COLN,WHERE),"",INDEX(QTE.HA,SMALL(IF(COLN=WHERE,ROW(COLN)-1,""),ROW($A9))))</f>
        <v>3</v>
      </c>
      <c r="N15" s="55">
        <f t="array" aca="1" ref="N15" ca="1">IF(ROW($A9)&gt;COUNTIF(COLN,WHERE),"",INDEX(MONTANT,SMALL(IF(COLN=WHERE,ROW(COLN)-1,""),ROW($A9))))</f>
        <v>152.685</v>
      </c>
      <c r="O15" s="47"/>
      <c r="P15" s="14"/>
    </row>
    <row r="16" spans="2:16" ht="23" customHeight="1">
      <c r="B16" s="46"/>
      <c r="C16" s="26"/>
      <c r="D16" s="80"/>
      <c r="E16" s="81" t="s">
        <v>8</v>
      </c>
      <c r="F16" s="82">
        <f ca="1">SUMIF($J$7:$J$37,E16,$N$7:$N$37)</f>
        <v>7756.6435046382185</v>
      </c>
      <c r="G16" s="27"/>
      <c r="H16" s="14"/>
      <c r="I16" s="42">
        <f t="array" aca="1" ref="I16" ca="1">IF(ROW($A10)&gt;COUNTIF(COLN,WHERE),"",INDEX(DATE,SMALL(IF(COLN=WHERE,ROW(COLN)-1,""),ROW($A10))))</f>
        <v>41347</v>
      </c>
      <c r="J16" s="38" t="str">
        <f t="array" aca="1" ref="J16" ca="1">IF(ROW($A10)&gt;COUNTIF(COLN,WHERE),"",INDEX(categorie,SMALL(IF(COLN=WHERE,ROW(COLN)-1,""),ROW($A10))))</f>
        <v>ENGRAIS</v>
      </c>
      <c r="K16" s="38" t="str">
        <f t="array" aca="1" ref="K16" ca="1">IF(ROW($A10)&gt;COUNTIF(COLN,WHERE),"",INDEX(PRODUIT,SMALL(IF(COLN=WHERE,ROW(COLN)-1,""),ROW($A10))))</f>
        <v>Urée</v>
      </c>
      <c r="L16" s="56">
        <f t="array" aca="1" ref="L16" ca="1">IF(ROW($A10)&gt;COUNTIF(COLN,WHERE),"",INDEX(NB.HA,SMALL(IF(COLN=WHERE,ROW(COLN)-1,""),ROW($A10))))</f>
        <v>17.55</v>
      </c>
      <c r="M16" s="39">
        <f t="array" aca="1" ref="M16" ca="1">IF(ROW($A10)&gt;COUNTIF(COLN,WHERE),"",INDEX(QTE.HA,SMALL(IF(COLN=WHERE,ROW(COLN)-1,""),ROW($A10))))</f>
        <v>180</v>
      </c>
      <c r="N16" s="55">
        <f t="array" aca="1" ref="N16" ca="1">IF(ROW($A10)&gt;COUNTIF(COLN,WHERE),"",INDEX(MONTANT,SMALL(IF(COLN=WHERE,ROW(COLN)-1,""),ROW($A10))))</f>
        <v>1323.1052448979592</v>
      </c>
      <c r="O16" s="47"/>
      <c r="P16" s="14"/>
    </row>
    <row r="17" spans="2:16" ht="23" customHeight="1">
      <c r="B17" s="46"/>
      <c r="C17" s="26"/>
      <c r="D17" s="80"/>
      <c r="E17" s="81" t="s">
        <v>15</v>
      </c>
      <c r="F17" s="82">
        <f ca="1">SUMIF($J$7:$J$37,E17,$N$7:$N$37)</f>
        <v>2021.3821281521741</v>
      </c>
      <c r="G17" s="27"/>
      <c r="H17" s="14"/>
      <c r="I17" s="42">
        <f t="array" aca="1" ref="I17" ca="1">IF(ROW($A11)&gt;COUNTIF(COLN,WHERE),"",INDEX(DATE,SMALL(IF(COLN=WHERE,ROW(COLN)-1,""),ROW($A11))))</f>
        <v>41354</v>
      </c>
      <c r="J17" s="38" t="str">
        <f t="array" aca="1" ref="J17" ca="1">IF(ROW($A11)&gt;COUNTIF(COLN,WHERE),"",INDEX(categorie,SMALL(IF(COLN=WHERE,ROW(COLN)-1,""),ROW($A11))))</f>
        <v>DESHERBANT</v>
      </c>
      <c r="K17" s="38" t="str">
        <f t="array" aca="1" ref="K17" ca="1">IF(ROW($A11)&gt;COUNTIF(COLN,WHERE),"",INDEX(PRODUIT,SMALL(IF(COLN=WHERE,ROW(COLN)-1,""),ROW($A11))))</f>
        <v>Actual Pratic</v>
      </c>
      <c r="L17" s="56">
        <f t="array" aca="1" ref="L17" ca="1">IF(ROW($A11)&gt;COUNTIF(COLN,WHERE),"",INDEX(NB.HA,SMALL(IF(COLN=WHERE,ROW(COLN)-1,""),ROW($A11))))</f>
        <v>17.55</v>
      </c>
      <c r="M17" s="39">
        <f t="array" aca="1" ref="M17" ca="1">IF(ROW($A11)&gt;COUNTIF(COLN,WHERE),"",INDEX(QTE.HA,SMALL(IF(COLN=WHERE,ROW(COLN)-1,""),ROW($A11))))</f>
        <v>0.9</v>
      </c>
      <c r="N17" s="55">
        <f t="array" aca="1" ref="N17" ca="1">IF(ROW($A11)&gt;COUNTIF(COLN,WHERE),"",INDEX(MONTANT,SMALL(IF(COLN=WHERE,ROW(COLN)-1,""),ROW($A11))))</f>
        <v>489.64500000000004</v>
      </c>
      <c r="O17" s="48"/>
      <c r="P17" s="14"/>
    </row>
    <row r="18" spans="2:16" ht="23" customHeight="1">
      <c r="B18" s="46"/>
      <c r="C18" s="26"/>
      <c r="D18" s="80"/>
      <c r="E18" s="81" t="s">
        <v>31</v>
      </c>
      <c r="F18" s="82">
        <f ca="1">SUMIF($J$7:$J$37,E18,$N$7:$N$37)</f>
        <v>1356.5056284</v>
      </c>
      <c r="G18" s="27"/>
      <c r="H18" s="14"/>
      <c r="I18" s="42">
        <f t="array" aca="1" ref="I18" ca="1">IF(ROW($A12)&gt;COUNTIF(COLN,WHERE),"",INDEX(DATE,SMALL(IF(COLN=WHERE,ROW(COLN)-1,""),ROW($A12))))</f>
        <v>41358</v>
      </c>
      <c r="J18" s="38" t="str">
        <f t="array" aca="1" ref="J18" ca="1">IF(ROW($A12)&gt;COUNTIF(COLN,WHERE),"",INDEX(categorie,SMALL(IF(COLN=WHERE,ROW(COLN)-1,""),ROW($A12))))</f>
        <v>DESHERBANT</v>
      </c>
      <c r="K18" s="38" t="str">
        <f t="array" aca="1" ref="K18" ca="1">IF(ROW($A12)&gt;COUNTIF(COLN,WHERE),"",INDEX(PRODUIT,SMALL(IF(COLN=WHERE,ROW(COLN)-1,""),ROW($A12))))</f>
        <v>Primus</v>
      </c>
      <c r="L18" s="56">
        <f t="array" aca="1" ref="L18" ca="1">IF(ROW($A12)&gt;COUNTIF(COLN,WHERE),"",INDEX(NB.HA,SMALL(IF(COLN=WHERE,ROW(COLN)-1,""),ROW($A12))))</f>
        <v>17.55</v>
      </c>
      <c r="M18" s="39">
        <f t="array" aca="1" ref="M18" ca="1">IF(ROW($A12)&gt;COUNTIF(COLN,WHERE),"",INDEX(QTE.HA,SMALL(IF(COLN=WHERE,ROW(COLN)-1,""),ROW($A12))))</f>
        <v>5.7000000000000002E-2</v>
      </c>
      <c r="N18" s="55">
        <f t="array" aca="1" ref="N18" ca="1">IF(ROW($A12)&gt;COUNTIF(COLN,WHERE),"",INDEX(MONTANT,SMALL(IF(COLN=WHERE,ROW(COLN)-1,""),ROW($A12))))</f>
        <v>320.11200000000002</v>
      </c>
      <c r="O18" s="47"/>
      <c r="P18" s="14"/>
    </row>
    <row r="19" spans="2:16" ht="23" customHeight="1">
      <c r="B19" s="46"/>
      <c r="C19" s="26"/>
      <c r="D19" s="80"/>
      <c r="E19" s="81" t="s">
        <v>102</v>
      </c>
      <c r="F19" s="82">
        <f t="shared" ref="F19:F20" ca="1" si="0">SUMIF($J$7:$J$37,E19,$N$7:$N$37)</f>
        <v>0</v>
      </c>
      <c r="G19" s="27"/>
      <c r="H19" s="14"/>
      <c r="I19" s="42">
        <f t="array" aca="1" ref="I19" ca="1">IF(ROW($A13)&gt;COUNTIF(COLN,WHERE),"",INDEX(DATE,SMALL(IF(COLN=WHERE,ROW(COLN)-1,""),ROW($A13))))</f>
        <v>41358</v>
      </c>
      <c r="J19" s="38" t="str">
        <f t="array" aca="1" ref="J19" ca="1">IF(ROW($A13)&gt;COUNTIF(COLN,WHERE),"",INDEX(categorie,SMALL(IF(COLN=WHERE,ROW(COLN)-1,""),ROW($A13))))</f>
        <v>DESHERBANT</v>
      </c>
      <c r="K19" s="38" t="str">
        <f t="array" aca="1" ref="K19" ca="1">IF(ROW($A13)&gt;COUNTIF(COLN,WHERE),"",INDEX(PRODUIT,SMALL(IF(COLN=WHERE,ROW(COLN)-1,""),ROW($A13))))</f>
        <v>Pragma</v>
      </c>
      <c r="L19" s="56">
        <f t="array" aca="1" ref="L19" ca="1">IF(ROW($A13)&gt;COUNTIF(COLN,WHERE),"",INDEX(NB.HA,SMALL(IF(COLN=WHERE,ROW(COLN)-1,""),ROW($A13))))</f>
        <v>17.55</v>
      </c>
      <c r="M19" s="39">
        <f t="array" aca="1" ref="M19" ca="1">IF(ROW($A13)&gt;COUNTIF(COLN,WHERE),"",INDEX(QTE.HA,SMALL(IF(COLN=WHERE,ROW(COLN)-1,""),ROW($A13))))</f>
        <v>68.38</v>
      </c>
      <c r="N19" s="55">
        <f t="array" aca="1" ref="N19" ca="1">IF(ROW($A13)&gt;COUNTIF(COLN,WHERE),"",INDEX(MONTANT,SMALL(IF(COLN=WHERE,ROW(COLN)-1,""),ROW($A13))))</f>
        <v>401.02305749999999</v>
      </c>
      <c r="O19" s="47"/>
      <c r="P19" s="14"/>
    </row>
    <row r="20" spans="2:16" ht="23" customHeight="1">
      <c r="B20" s="46"/>
      <c r="C20" s="26"/>
      <c r="D20" s="80"/>
      <c r="E20" s="81" t="s">
        <v>185</v>
      </c>
      <c r="F20" s="82">
        <f t="shared" ca="1" si="0"/>
        <v>0</v>
      </c>
      <c r="G20" s="27"/>
      <c r="H20" s="14"/>
      <c r="I20" s="42">
        <f t="array" aca="1" ref="I20" ca="1">IF(ROW($A14)&gt;COUNTIF(COLN,WHERE),"",INDEX(DATE,SMALL(IF(COLN=WHERE,ROW(COLN)-1,""),ROW($A14))))</f>
        <v>41380</v>
      </c>
      <c r="J20" s="38" t="str">
        <f t="array" aca="1" ref="J20" ca="1">IF(ROW($A14)&gt;COUNTIF(COLN,WHERE),"",INDEX(categorie,SMALL(IF(COLN=WHERE,ROW(COLN)-1,""),ROW($A14))))</f>
        <v>FONGICIDES</v>
      </c>
      <c r="K20" s="38" t="str">
        <f t="array" aca="1" ref="K20" ca="1">IF(ROW($A14)&gt;COUNTIF(COLN,WHERE),"",INDEX(PRODUIT,SMALL(IF(COLN=WHERE,ROW(COLN)-1,""),ROW($A14))))</f>
        <v>Pixel</v>
      </c>
      <c r="L20" s="56">
        <f t="array" aca="1" ref="L20" ca="1">IF(ROW($A14)&gt;COUNTIF(COLN,WHERE),"",INDEX(NB.HA,SMALL(IF(COLN=WHERE,ROW(COLN)-1,""),ROW($A14))))</f>
        <v>17.55</v>
      </c>
      <c r="M20" s="39">
        <f t="array" aca="1" ref="M20" ca="1">IF(ROW($A14)&gt;COUNTIF(COLN,WHERE),"",INDEX(QTE.HA,SMALL(IF(COLN=WHERE,ROW(COLN)-1,""),ROW($A14))))</f>
        <v>1.3</v>
      </c>
      <c r="N20" s="55">
        <f t="array" aca="1" ref="N20" ca="1">IF(ROW($A14)&gt;COUNTIF(COLN,WHERE),"",INDEX(MONTANT,SMALL(IF(COLN=WHERE,ROW(COLN)-1,""),ROW($A14))))</f>
        <v>328.536</v>
      </c>
      <c r="O20" s="47"/>
      <c r="P20" s="14"/>
    </row>
    <row r="21" spans="2:16" ht="23" customHeight="1">
      <c r="B21" s="46"/>
      <c r="C21" s="26"/>
      <c r="D21" s="83" t="s">
        <v>103</v>
      </c>
      <c r="E21" s="84"/>
      <c r="F21" s="85">
        <f ca="1">F14/F10</f>
        <v>744.5467257088543</v>
      </c>
      <c r="G21" s="27"/>
      <c r="H21" s="14"/>
      <c r="I21" s="42">
        <f t="array" aca="1" ref="I21" ca="1">IF(ROW($A15)&gt;COUNTIF(COLN,WHERE),"",INDEX(DATE,SMALL(IF(COLN=WHERE,ROW(COLN)-1,""),ROW($A15))))</f>
        <v>41380</v>
      </c>
      <c r="J21" s="38" t="str">
        <f t="array" aca="1" ref="J21" ca="1">IF(ROW($A15)&gt;COUNTIF(COLN,WHERE),"",INDEX(categorie,SMALL(IF(COLN=WHERE,ROW(COLN)-1,""),ROW($A15))))</f>
        <v>FONGICIDES</v>
      </c>
      <c r="K21" s="38" t="str">
        <f t="array" aca="1" ref="K21" ca="1">IF(ROW($A15)&gt;COUNTIF(COLN,WHERE),"",INDEX(PRODUIT,SMALL(IF(COLN=WHERE,ROW(COLN)-1,""),ROW($A15))))</f>
        <v>Mirage</v>
      </c>
      <c r="L21" s="56">
        <f t="array" aca="1" ref="L21" ca="1">IF(ROW($A15)&gt;COUNTIF(COLN,WHERE),"",INDEX(NB.HA,SMALL(IF(COLN=WHERE,ROW(COLN)-1,""),ROW($A15))))</f>
        <v>17.55</v>
      </c>
      <c r="M21" s="39">
        <f t="array" aca="1" ref="M21" ca="1">IF(ROW($A15)&gt;COUNTIF(COLN,WHERE),"",INDEX(QTE.HA,SMALL(IF(COLN=WHERE,ROW(COLN)-1,""),ROW($A15))))</f>
        <v>0.7</v>
      </c>
      <c r="N21" s="55">
        <f t="array" aca="1" ref="N21" ca="1">IF(ROW($A15)&gt;COUNTIF(COLN,WHERE),"",INDEX(MONTANT,SMALL(IF(COLN=WHERE,ROW(COLN)-1,""),ROW($A15))))</f>
        <v>110.565</v>
      </c>
      <c r="O21" s="47"/>
      <c r="P21" s="14"/>
    </row>
    <row r="22" spans="2:16" ht="23" customHeight="1">
      <c r="B22" s="46"/>
      <c r="C22" s="26"/>
      <c r="D22" s="70"/>
      <c r="E22" s="70"/>
      <c r="F22" s="71"/>
      <c r="G22" s="27"/>
      <c r="H22" s="14"/>
      <c r="I22" s="42">
        <f t="array" aca="1" ref="I22" ca="1">IF(ROW($A16)&gt;COUNTIF(COLN,WHERE),"",INDEX(DATE,SMALL(IF(COLN=WHERE,ROW(COLN)-1,""),ROW($A16))))</f>
        <v>41380</v>
      </c>
      <c r="J22" s="38" t="str">
        <f t="array" aca="1" ref="J22" ca="1">IF(ROW($A16)&gt;COUNTIF(COLN,WHERE),"",INDEX(categorie,SMALL(IF(COLN=WHERE,ROW(COLN)-1,""),ROW($A16))))</f>
        <v>DIVERS</v>
      </c>
      <c r="K22" s="38" t="str">
        <f t="array" aca="1" ref="K22" ca="1">IF(ROW($A16)&gt;COUNTIF(COLN,WHERE),"",INDEX(PRODUIT,SMALL(IF(COLN=WHERE,ROW(COLN)-1,""),ROW($A16))))</f>
        <v>Heliosol</v>
      </c>
      <c r="L22" s="56">
        <f t="array" aca="1" ref="L22" ca="1">IF(ROW($A16)&gt;COUNTIF(COLN,WHERE),"",INDEX(NB.HA,SMALL(IF(COLN=WHERE,ROW(COLN)-1,""),ROW($A16))))</f>
        <v>17.55</v>
      </c>
      <c r="M22" s="39">
        <f t="array" aca="1" ref="M22" ca="1">IF(ROW($A16)&gt;COUNTIF(COLN,WHERE),"",INDEX(QTE.HA,SMALL(IF(COLN=WHERE,ROW(COLN)-1,""),ROW($A16))))</f>
        <v>0.2</v>
      </c>
      <c r="N22" s="55">
        <f t="array" aca="1" ref="N22" ca="1">IF(ROW($A16)&gt;COUNTIF(COLN,WHERE),"",INDEX(MONTANT,SMALL(IF(COLN=WHERE,ROW(COLN)-1,""),ROW($A16))))</f>
        <v>38.645099999999999</v>
      </c>
      <c r="O22" s="47"/>
      <c r="P22" s="14"/>
    </row>
    <row r="23" spans="2:16" ht="23" customHeight="1">
      <c r="B23" s="46"/>
      <c r="C23" s="26"/>
      <c r="D23" s="23"/>
      <c r="E23" s="24"/>
      <c r="F23" s="25"/>
      <c r="G23" s="27"/>
      <c r="H23" s="14"/>
      <c r="I23" s="42">
        <f t="array" aca="1" ref="I23" ca="1">IF(ROW($A17)&gt;COUNTIF(COLN,WHERE),"",INDEX(DATE,SMALL(IF(COLN=WHERE,ROW(COLN)-1,""),ROW($A17))))</f>
        <v>41389</v>
      </c>
      <c r="J23" s="38" t="str">
        <f t="array" aca="1" ref="J23" ca="1">IF(ROW($A17)&gt;COUNTIF(COLN,WHERE),"",INDEX(categorie,SMALL(IF(COLN=WHERE,ROW(COLN)-1,""),ROW($A17))))</f>
        <v>ENGRAIS</v>
      </c>
      <c r="K23" s="38" t="str">
        <f t="array" aca="1" ref="K23" ca="1">IF(ROW($A17)&gt;COUNTIF(COLN,WHERE),"",INDEX(PRODUIT,SMALL(IF(COLN=WHERE,ROW(COLN)-1,""),ROW($A17))))</f>
        <v>Urée</v>
      </c>
      <c r="L23" s="56">
        <f t="array" aca="1" ref="L23" ca="1">IF(ROW($A17)&gt;COUNTIF(COLN,WHERE),"",INDEX(NB.HA,SMALL(IF(COLN=WHERE,ROW(COLN)-1,""),ROW($A17))))</f>
        <v>17.55</v>
      </c>
      <c r="M23" s="39">
        <f t="array" aca="1" ref="M23" ca="1">IF(ROW($A17)&gt;COUNTIF(COLN,WHERE),"",INDEX(QTE.HA,SMALL(IF(COLN=WHERE,ROW(COLN)-1,""),ROW($A17))))</f>
        <v>130</v>
      </c>
      <c r="N23" s="55">
        <f t="array" aca="1" ref="N23" ca="1">IF(ROW($A17)&gt;COUNTIF(COLN,WHERE),"",INDEX(MONTANT,SMALL(IF(COLN=WHERE,ROW(COLN)-1,""),ROW($A17))))</f>
        <v>955.57601020408163</v>
      </c>
      <c r="O23" s="47"/>
      <c r="P23" s="14"/>
    </row>
    <row r="24" spans="2:16" ht="23" customHeight="1">
      <c r="B24" s="46"/>
      <c r="C24" s="26"/>
      <c r="D24" s="26"/>
      <c r="E24" s="14"/>
      <c r="F24" s="27"/>
      <c r="G24" s="27"/>
      <c r="H24" s="14"/>
      <c r="I24" s="42">
        <f t="array" aca="1" ref="I24" ca="1">IF(ROW($A18)&gt;COUNTIF(COLN,WHERE),"",INDEX(DATE,SMALL(IF(COLN=WHERE,ROW(COLN)-1,""),ROW($A18))))</f>
        <v>41396</v>
      </c>
      <c r="J24" s="38" t="str">
        <f t="array" aca="1" ref="J24" ca="1">IF(ROW($A18)&gt;COUNTIF(COLN,WHERE),"",INDEX(categorie,SMALL(IF(COLN=WHERE,ROW(COLN)-1,""),ROW($A18))))</f>
        <v>FONGICIDES</v>
      </c>
      <c r="K24" s="38" t="str">
        <f t="array" aca="1" ref="K24" ca="1">IF(ROW($A18)&gt;COUNTIF(COLN,WHERE),"",INDEX(PRODUIT,SMALL(IF(COLN=WHERE,ROW(COLN)-1,""),ROW($A18))))</f>
        <v>Acanto</v>
      </c>
      <c r="L24" s="56">
        <f t="array" aca="1" ref="L24" ca="1">IF(ROW($A18)&gt;COUNTIF(COLN,WHERE),"",INDEX(NB.HA,SMALL(IF(COLN=WHERE,ROW(COLN)-1,""),ROW($A18))))</f>
        <v>17.55</v>
      </c>
      <c r="M24" s="39">
        <f t="array" aca="1" ref="M24" ca="1">IF(ROW($A18)&gt;COUNTIF(COLN,WHERE),"",INDEX(QTE.HA,SMALL(IF(COLN=WHERE,ROW(COLN)-1,""),ROW($A18))))</f>
        <v>0.3</v>
      </c>
      <c r="N24" s="55">
        <f t="array" aca="1" ref="N24" ca="1">IF(ROW($A18)&gt;COUNTIF(COLN,WHERE),"",INDEX(MONTANT,SMALL(IF(COLN=WHERE,ROW(COLN)-1,""),ROW($A18))))</f>
        <v>194.80499999999998</v>
      </c>
      <c r="O24" s="47"/>
      <c r="P24" s="14"/>
    </row>
    <row r="25" spans="2:16" ht="23" customHeight="1">
      <c r="B25" s="46"/>
      <c r="C25" s="26"/>
      <c r="D25" s="26"/>
      <c r="E25" s="14"/>
      <c r="F25" s="27"/>
      <c r="G25" s="27"/>
      <c r="H25" s="14"/>
      <c r="I25" s="42">
        <f t="array" aca="1" ref="I25" ca="1">IF(ROW($A19)&gt;COUNTIF(COLN,WHERE),"",INDEX(DATE,SMALL(IF(COLN=WHERE,ROW(COLN)-1,""),ROW($A19))))</f>
        <v>41396</v>
      </c>
      <c r="J25" s="38" t="str">
        <f t="array" aca="1" ref="J25" ca="1">IF(ROW($A19)&gt;COUNTIF(COLN,WHERE),"",INDEX(categorie,SMALL(IF(COLN=WHERE,ROW(COLN)-1,""),ROW($A19))))</f>
        <v>FONGICIDES</v>
      </c>
      <c r="K25" s="38" t="str">
        <f t="array" aca="1" ref="K25" ca="1">IF(ROW($A19)&gt;COUNTIF(COLN,WHERE),"",INDEX(PRODUIT,SMALL(IF(COLN=WHERE,ROW(COLN)-1,""),ROW($A19))))</f>
        <v>Opus New</v>
      </c>
      <c r="L25" s="56">
        <f t="array" aca="1" ref="L25" ca="1">IF(ROW($A19)&gt;COUNTIF(COLN,WHERE),"",INDEX(NB.HA,SMALL(IF(COLN=WHERE,ROW(COLN)-1,""),ROW($A19))))</f>
        <v>17.55</v>
      </c>
      <c r="M25" s="39">
        <f t="array" aca="1" ref="M25" ca="1">IF(ROW($A19)&gt;COUNTIF(COLN,WHERE),"",INDEX(QTE.HA,SMALL(IF(COLN=WHERE,ROW(COLN)-1,""),ROW($A19))))</f>
        <v>0.6</v>
      </c>
      <c r="N25" s="55">
        <f t="array" aca="1" ref="N25" ca="1">IF(ROW($A19)&gt;COUNTIF(COLN,WHERE),"",INDEX(MONTANT,SMALL(IF(COLN=WHERE,ROW(COLN)-1,""),ROW($A19))))</f>
        <v>325.48230000000001</v>
      </c>
      <c r="O25" s="47"/>
      <c r="P25" s="14"/>
    </row>
    <row r="26" spans="2:16" ht="23" customHeight="1">
      <c r="B26" s="46"/>
      <c r="C26" s="26"/>
      <c r="D26" s="26"/>
      <c r="E26" s="14"/>
      <c r="F26" s="27"/>
      <c r="G26" s="27"/>
      <c r="H26" s="14"/>
      <c r="I26" s="42">
        <f t="array" aca="1" ref="I26" ca="1">IF(ROW($A20)&gt;COUNTIF(COLN,WHERE),"",INDEX(DATE,SMALL(IF(COLN=WHERE,ROW(COLN)-1,""),ROW($A20))))</f>
        <v>41400</v>
      </c>
      <c r="J26" s="38" t="str">
        <f t="array" aca="1" ref="J26" ca="1">IF(ROW($A20)&gt;COUNTIF(COLN,WHERE),"",INDEX(categorie,SMALL(IF(COLN=WHERE,ROW(COLN)-1,""),ROW($A20))))</f>
        <v>DIVERS</v>
      </c>
      <c r="K26" s="38" t="str">
        <f t="array" aca="1" ref="K26" ca="1">IF(ROW($A20)&gt;COUNTIF(COLN,WHERE),"",INDEX(PRODUIT,SMALL(IF(COLN=WHERE,ROW(COLN)-1,""),ROW($A20))))</f>
        <v>Fertilider</v>
      </c>
      <c r="L26" s="56">
        <f t="array" aca="1" ref="L26" ca="1">IF(ROW($A20)&gt;COUNTIF(COLN,WHERE),"",INDEX(NB.HA,SMALL(IF(COLN=WHERE,ROW(COLN)-1,""),ROW($A20))))</f>
        <v>17.55</v>
      </c>
      <c r="M26" s="39">
        <f t="array" aca="1" ref="M26" ca="1">IF(ROW($A20)&gt;COUNTIF(COLN,WHERE),"",INDEX(QTE.HA,SMALL(IF(COLN=WHERE,ROW(COLN)-1,""),ROW($A20))))</f>
        <v>3</v>
      </c>
      <c r="N26" s="55">
        <f t="array" aca="1" ref="N26" ca="1">IF(ROW($A20)&gt;COUNTIF(COLN,WHERE),"",INDEX(MONTANT,SMALL(IF(COLN=WHERE,ROW(COLN)-1,""),ROW($A20))))</f>
        <v>647.59500000000014</v>
      </c>
      <c r="O26" s="47"/>
      <c r="P26" s="14"/>
    </row>
    <row r="27" spans="2:16" ht="23" customHeight="1">
      <c r="B27" s="46"/>
      <c r="C27" s="26"/>
      <c r="D27" s="26"/>
      <c r="E27" s="14"/>
      <c r="F27" s="27"/>
      <c r="G27" s="27"/>
      <c r="H27" s="14"/>
      <c r="I27" s="42">
        <f t="array" aca="1" ref="I27" ca="1">IF(ROW($A21)&gt;COUNTIF(COLN,WHERE),"",INDEX(DATE,SMALL(IF(COLN=WHERE,ROW(COLN)-1,""),ROW($A21))))</f>
        <v>41421</v>
      </c>
      <c r="J27" s="38" t="str">
        <f t="array" aca="1" ref="J27" ca="1">IF(ROW($A21)&gt;COUNTIF(COLN,WHERE),"",INDEX(categorie,SMALL(IF(COLN=WHERE,ROW(COLN)-1,""),ROW($A21))))</f>
        <v>FONGICIDES</v>
      </c>
      <c r="K27" s="38" t="str">
        <f t="array" aca="1" ref="K27" ca="1">IF(ROW($A21)&gt;COUNTIF(COLN,WHERE),"",INDEX(PRODUIT,SMALL(IF(COLN=WHERE,ROW(COLN)-1,""),ROW($A21))))</f>
        <v>Prosaro</v>
      </c>
      <c r="L27" s="56">
        <f t="array" aca="1" ref="L27" ca="1">IF(ROW($A21)&gt;COUNTIF(COLN,WHERE),"",INDEX(NB.HA,SMALL(IF(COLN=WHERE,ROW(COLN)-1,""),ROW($A21))))</f>
        <v>17.55</v>
      </c>
      <c r="M27" s="39">
        <f t="array" aca="1" ref="M27" ca="1">IF(ROW($A21)&gt;COUNTIF(COLN,WHERE),"",INDEX(QTE.HA,SMALL(IF(COLN=WHERE,ROW(COLN)-1,""),ROW($A21))))</f>
        <v>0.57040000000000002</v>
      </c>
      <c r="N27" s="55">
        <f t="array" aca="1" ref="N27" ca="1">IF(ROW($A21)&gt;COUNTIF(COLN,WHERE),"",INDEX(MONTANT,SMALL(IF(COLN=WHERE,ROW(COLN)-1,""),ROW($A21))))</f>
        <v>397.11732840000002</v>
      </c>
      <c r="O27" s="47"/>
      <c r="P27" s="14"/>
    </row>
    <row r="28" spans="2:16" ht="23" customHeight="1">
      <c r="B28" s="46"/>
      <c r="C28" s="26"/>
      <c r="D28" s="26"/>
      <c r="E28" s="14"/>
      <c r="F28" s="27"/>
      <c r="G28" s="27"/>
      <c r="H28" s="14"/>
      <c r="I28" s="42">
        <f t="array" aca="1" ref="I28" ca="1">IF(ROW($A22)&gt;COUNTIF(COLN,WHERE),"",INDEX(DATE,SMALL(IF(COLN=WHERE,ROW(COLN)-1,""),ROW($A22))))</f>
        <v>41479</v>
      </c>
      <c r="J28" s="38" t="str">
        <f t="array" aca="1" ref="J28" ca="1">IF(ROW($A22)&gt;COUNTIF(COLN,WHERE),"",INDEX(categorie,SMALL(IF(COLN=WHERE,ROW(COLN)-1,""),ROW($A22))))</f>
        <v>RECOLTE</v>
      </c>
      <c r="K28" s="38" t="str">
        <f t="array" aca="1" ref="K28" ca="1">IF(ROW($A22)&gt;COUNTIF(COLN,WHERE),"",INDEX(PRODUIT,SMALL(IF(COLN=WHERE,ROW(COLN)-1,""),ROW($A22))))</f>
        <v>Récolte</v>
      </c>
      <c r="L28" s="56">
        <f t="array" aca="1" ref="L28" ca="1">IF(ROW($A22)&gt;COUNTIF(COLN,WHERE),"",INDEX(NB.HA,SMALL(IF(COLN=WHERE,ROW(COLN)-1,""),ROW($A22))))</f>
        <v>17.55</v>
      </c>
      <c r="M28" s="39">
        <f t="array" aca="1" ref="M28" ca="1">IF(ROW($A22)&gt;COUNTIF(COLN,WHERE),"",INDEX(QTE.HA,SMALL(IF(COLN=WHERE,ROW(COLN)-1,""),ROW($A22))))</f>
        <v>74.757834757834758</v>
      </c>
      <c r="N28" s="55">
        <f t="array" aca="1" ref="N28" ca="1">IF(ROW($A22)&gt;COUNTIF(COLN,WHERE),"",INDEX(MONTANT,SMALL(IF(COLN=WHERE,ROW(COLN)-1,""),ROW($A22))))</f>
        <v>1312</v>
      </c>
      <c r="O28" s="47"/>
      <c r="P28" s="14"/>
    </row>
    <row r="29" spans="2:16" ht="23" customHeight="1">
      <c r="B29" s="46"/>
      <c r="C29" s="26"/>
      <c r="D29" s="28"/>
      <c r="E29" s="29"/>
      <c r="F29" s="30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6" ht="23" customHeight="1">
      <c r="B30" s="46"/>
      <c r="C30" s="26"/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6" ht="23" customHeight="1">
      <c r="B31" s="46"/>
      <c r="C31" s="26"/>
      <c r="D31" s="89"/>
      <c r="E31" s="92" t="s">
        <v>120</v>
      </c>
      <c r="F31" s="72">
        <v>75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6" ht="23" customHeight="1">
      <c r="B32" s="46"/>
      <c r="C32" s="26"/>
      <c r="D32" s="90"/>
      <c r="E32" s="91" t="s">
        <v>118</v>
      </c>
      <c r="F32" s="73">
        <v>185</v>
      </c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90"/>
      <c r="E33" s="91" t="s">
        <v>121</v>
      </c>
      <c r="F33" s="73"/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4" t="s">
        <v>122</v>
      </c>
      <c r="E34" s="75"/>
      <c r="F34" s="93">
        <f>((((F31*F10)/10)*F32)+(F33*F10))/F10</f>
        <v>1387.5</v>
      </c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76"/>
      <c r="E35" s="4"/>
      <c r="F35" s="4"/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6"/>
      <c r="D36" s="94" t="s">
        <v>119</v>
      </c>
      <c r="E36" s="95"/>
      <c r="F36" s="133">
        <f ca="1">(F34*F10)-F14</f>
        <v>11283.829963809607</v>
      </c>
      <c r="G36" s="27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>
      <c r="B37" s="46"/>
      <c r="C37" s="28"/>
      <c r="D37" s="41"/>
      <c r="E37" s="29"/>
      <c r="F37" s="29"/>
      <c r="G37" s="30"/>
      <c r="H37" s="14"/>
      <c r="I37" s="229" t="str">
        <f t="array" aca="1" ref="I37" ca="1">IF(ROW($A31)&gt;COUNTIF(COLN,WHERE),"",INDEX(DATE,SMALL(IF(COLN=WHERE,ROW(COLN)-1,""),ROW($A31))))</f>
        <v/>
      </c>
      <c r="J37" s="230" t="str">
        <f t="array" aca="1" ref="J37" ca="1">IF(ROW($A31)&gt;COUNTIF(COLN,WHERE),"",INDEX(categorie,SMALL(IF(COLN=WHERE,ROW(COLN)-1,""),ROW($A31))))</f>
        <v/>
      </c>
      <c r="K37" s="230" t="str">
        <f t="array" aca="1" ref="K37" ca="1">IF(ROW($A31)&gt;COUNTIF(COLN,WHERE),"",INDEX(PRODUIT,SMALL(IF(COLN=WHERE,ROW(COLN)-1,""),ROW($A31))))</f>
        <v/>
      </c>
      <c r="L37" s="231" t="str">
        <f t="array" aca="1" ref="L37" ca="1">IF(ROW($A31)&gt;COUNTIF(COLN,WHERE),"",INDEX(NB.HA,SMALL(IF(COLN=WHERE,ROW(COLN)-1,""),ROW($A31))))</f>
        <v/>
      </c>
      <c r="M37" s="232" t="str">
        <f t="array" aca="1" ref="M37" ca="1">IF(ROW($A31)&gt;COUNTIF(COLN,WHERE),"",INDEX(QTE.HA,SMALL(IF(COLN=WHERE,ROW(COLN)-1,""),ROW($A31))))</f>
        <v/>
      </c>
      <c r="N37" s="233" t="str">
        <f t="array" aca="1" ref="N37" ca="1">IF(ROW($A31)&gt;COUNTIF(COLN,WHERE),"",INDEX(MONTANT,SMALL(IF(COLN=WHERE,ROW(COLN)-1,""),ROW($A31))))</f>
        <v/>
      </c>
      <c r="O37" s="47"/>
      <c r="P37" s="14"/>
    </row>
    <row r="38" spans="2:16" ht="23" customHeight="1" thickBot="1">
      <c r="B38" s="49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1"/>
      <c r="P38" s="14"/>
    </row>
    <row r="39" spans="2:16" ht="23" customHeight="1">
      <c r="H39" s="14"/>
      <c r="I39" s="14"/>
      <c r="J39" s="14"/>
      <c r="K39" s="14"/>
      <c r="L39" s="58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J42" s="14"/>
      <c r="K42" s="14"/>
      <c r="L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ht="23" customHeight="1" outlineLevel="1">
      <c r="C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 outlineLevel="1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  <row r="85" spans="7:15">
      <c r="G85" s="14"/>
      <c r="H85" s="14"/>
      <c r="I85" s="14"/>
      <c r="J85" s="14"/>
      <c r="K85" s="14"/>
      <c r="L85" s="14"/>
      <c r="M85" s="14"/>
      <c r="N85" s="14"/>
      <c r="O85" s="14"/>
    </row>
  </sheetData>
  <dataConsolidate/>
  <mergeCells count="1">
    <mergeCell ref="C3:G4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F8</xm:sqref>
        </x14:dataValidation>
        <x14:dataValidation type="list" allowBlank="1" showInputMessage="1" showErrorMessage="1">
          <x14:formula1>
            <xm:f>OFFSET(ANNEE!$A$1,,,,COUNTA(ANNEE!$1:$1))</xm:f>
          </x14:formula1>
          <xm:sqref>F7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O543"/>
  <sheetViews>
    <sheetView showGridLines="0" workbookViewId="0">
      <pane xSplit="2" topLeftCell="C1" activePane="topRight" state="frozen"/>
      <selection pane="topRight" activeCell="B405" sqref="B405"/>
    </sheetView>
  </sheetViews>
  <sheetFormatPr baseColWidth="10" defaultRowHeight="14" x14ac:dyDescent="0"/>
  <cols>
    <col min="1" max="1" width="10.83203125" style="105" customWidth="1"/>
    <col min="2" max="2" width="16.1640625" style="132" customWidth="1"/>
    <col min="3" max="3" width="22.83203125" style="105" customWidth="1"/>
    <col min="4" max="4" width="12.33203125" style="106" customWidth="1"/>
    <col min="5" max="5" width="18.1640625" style="105" bestFit="1" customWidth="1"/>
    <col min="6" max="6" width="10.83203125" style="105"/>
    <col min="7" max="7" width="16" style="105" customWidth="1"/>
    <col min="8" max="10" width="10.83203125" style="105"/>
    <col min="11" max="11" width="14" style="105" customWidth="1"/>
    <col min="12" max="12" width="20.1640625" style="105" customWidth="1"/>
    <col min="13" max="13" width="17.6640625" style="105" customWidth="1"/>
    <col min="14" max="14" width="17.33203125" style="62" customWidth="1"/>
    <col min="15" max="16384" width="10.83203125" style="11"/>
  </cols>
  <sheetData>
    <row r="1" spans="1:15" ht="16" thickBot="1">
      <c r="A1" s="3" t="s">
        <v>1</v>
      </c>
      <c r="B1" s="3" t="s">
        <v>48</v>
      </c>
      <c r="C1" s="3" t="s">
        <v>61</v>
      </c>
      <c r="D1" s="3" t="s">
        <v>0</v>
      </c>
      <c r="E1" s="3" t="s">
        <v>3</v>
      </c>
      <c r="F1" s="3" t="s">
        <v>67</v>
      </c>
      <c r="G1" s="3" t="s">
        <v>2</v>
      </c>
      <c r="H1" s="3" t="s">
        <v>64</v>
      </c>
      <c r="I1" s="3" t="s">
        <v>65</v>
      </c>
      <c r="J1" s="3" t="s">
        <v>66</v>
      </c>
      <c r="K1" s="3" t="s">
        <v>6</v>
      </c>
      <c r="L1" s="3" t="s">
        <v>5</v>
      </c>
      <c r="M1" s="5" t="s">
        <v>89</v>
      </c>
      <c r="N1" s="3"/>
    </row>
    <row r="2" spans="1:15" ht="15" thickTop="1">
      <c r="A2" s="105">
        <v>2013</v>
      </c>
      <c r="B2" s="105" t="str">
        <f>INDEX(PARCELLAIRE!$B$2:$B$29,MATCH(UTILISATIONS!C2,PARCELLAIRE!$D$2:$D$29,0))</f>
        <v>TOURNESOL</v>
      </c>
      <c r="C2" s="105" t="s">
        <v>143</v>
      </c>
      <c r="D2" s="106">
        <v>41108</v>
      </c>
      <c r="E2" s="105" t="s">
        <v>11</v>
      </c>
      <c r="F2" s="105" t="s">
        <v>69</v>
      </c>
      <c r="G2" s="105" t="str">
        <f>VLOOKUP(E2,ACHATS!$C:$D,2,0)</f>
        <v>ENGRAIS</v>
      </c>
      <c r="H2" s="105">
        <v>200</v>
      </c>
      <c r="I2" s="107">
        <f>VLOOKUP(C2,PARCELLAIRE!$D$2:$F$29,3,0)</f>
        <v>5.17</v>
      </c>
      <c r="J2" s="107">
        <f t="shared" ref="J2:J65" si="0">I2*H2</f>
        <v>1034</v>
      </c>
      <c r="K2" s="107">
        <f>VLOOKUP(E2,'COUT MOYEN'!$B$1:$E$71,4,0)</f>
        <v>0.50298666666666669</v>
      </c>
      <c r="L2" s="108">
        <f t="shared" ref="L2:L39" si="1">K2*J2</f>
        <v>520.08821333333333</v>
      </c>
      <c r="M2" s="108"/>
      <c r="N2" s="63" t="str">
        <f t="shared" ref="N2:N65" si="2">IF(WHEN=A2,C2,1)</f>
        <v>Andres</v>
      </c>
      <c r="O2" s="172">
        <f>SUMPRODUCT(--(PARCELLAIRE!H$2:H$58=UTILISATIONS!N2))</f>
        <v>0</v>
      </c>
    </row>
    <row r="3" spans="1:15">
      <c r="A3" s="105">
        <v>2013</v>
      </c>
      <c r="B3" s="105" t="str">
        <f>INDEX(PARCELLAIRE!$B$2:$B$29,MATCH(UTILISATIONS!C3,PARCELLAIRE!$D$2:$D$29,0))</f>
        <v>TOURNESOL</v>
      </c>
      <c r="C3" s="105" t="s">
        <v>175</v>
      </c>
      <c r="D3" s="106">
        <v>41108</v>
      </c>
      <c r="E3" s="105" t="s">
        <v>11</v>
      </c>
      <c r="F3" s="105" t="s">
        <v>69</v>
      </c>
      <c r="G3" s="105" t="str">
        <f>VLOOKUP(E3,ACHATS!$C:$D,2,0)</f>
        <v>ENGRAIS</v>
      </c>
      <c r="H3" s="105">
        <v>200</v>
      </c>
      <c r="I3" s="107">
        <f>VLOOKUP(C3,PARCELLAIRE!$D$2:$F$29,3,0)</f>
        <v>2.33</v>
      </c>
      <c r="J3" s="107">
        <f t="shared" si="0"/>
        <v>466</v>
      </c>
      <c r="K3" s="107">
        <f>VLOOKUP(E3,'COUT MOYEN'!$B$1:$E$71,4,0)</f>
        <v>0.50298666666666669</v>
      </c>
      <c r="L3" s="108">
        <f t="shared" si="1"/>
        <v>234.39178666666669</v>
      </c>
      <c r="M3" s="108"/>
      <c r="N3" s="63" t="str">
        <f t="shared" si="2"/>
        <v>Bousquet Pourtanel</v>
      </c>
      <c r="O3" s="172">
        <f>SUMPRODUCT(--(PARCELLAIRE!H$2:H$58=UTILISATIONS!N3))</f>
        <v>0</v>
      </c>
    </row>
    <row r="4" spans="1:15">
      <c r="A4" s="105">
        <v>2013</v>
      </c>
      <c r="B4" s="105" t="str">
        <f>INDEX(PARCELLAIRE!$B$2:$B$29,MATCH(UTILISATIONS!C4,PARCELLAIRE!$D$2:$D$29,0))</f>
        <v>TOURNESOL</v>
      </c>
      <c r="C4" s="105" t="s">
        <v>164</v>
      </c>
      <c r="D4" s="106">
        <v>41108</v>
      </c>
      <c r="E4" s="105" t="s">
        <v>11</v>
      </c>
      <c r="F4" s="105" t="s">
        <v>69</v>
      </c>
      <c r="G4" s="105" t="str">
        <f>VLOOKUP(E4,ACHATS!$C:$D,2,0)</f>
        <v>ENGRAIS</v>
      </c>
      <c r="H4" s="105">
        <v>200</v>
      </c>
      <c r="I4" s="107">
        <f>VLOOKUP(C4,PARCELLAIRE!$D$2:$F$29,3,0)</f>
        <v>21.88</v>
      </c>
      <c r="J4" s="107">
        <f t="shared" si="0"/>
        <v>4376</v>
      </c>
      <c r="K4" s="107">
        <f>VLOOKUP(E4,'COUT MOYEN'!$B$1:$E$71,4,0)</f>
        <v>0.50298666666666669</v>
      </c>
      <c r="L4" s="108">
        <f t="shared" si="1"/>
        <v>2201.0696533333335</v>
      </c>
      <c r="M4" s="108"/>
      <c r="N4" s="63" t="str">
        <f t="shared" si="2"/>
        <v>Moulin Barthes</v>
      </c>
      <c r="O4" s="172">
        <f>SUMPRODUCT(--(PARCELLAIRE!H$2:H$58=UTILISATIONS!N4))</f>
        <v>0</v>
      </c>
    </row>
    <row r="5" spans="1:15">
      <c r="A5" s="105">
        <v>2013</v>
      </c>
      <c r="B5" s="105" t="str">
        <f>INDEX(PARCELLAIRE!$B$2:$B$29,MATCH(UTILISATIONS!C5,PARCELLAIRE!$D$2:$D$29,0))</f>
        <v>TOURNESOL</v>
      </c>
      <c r="C5" s="105" t="s">
        <v>165</v>
      </c>
      <c r="D5" s="106">
        <v>41108</v>
      </c>
      <c r="E5" s="105" t="s">
        <v>11</v>
      </c>
      <c r="F5" s="105" t="s">
        <v>69</v>
      </c>
      <c r="G5" s="105" t="str">
        <f>VLOOKUP(E5,ACHATS!$C:$D,2,0)</f>
        <v>ENGRAIS</v>
      </c>
      <c r="H5" s="105">
        <v>200</v>
      </c>
      <c r="I5" s="107">
        <f>VLOOKUP(C5,PARCELLAIRE!$D$2:$F$29,3,0)</f>
        <v>5.67</v>
      </c>
      <c r="J5" s="107">
        <f t="shared" si="0"/>
        <v>1134</v>
      </c>
      <c r="K5" s="107">
        <f>VLOOKUP(E5,'COUT MOYEN'!$B$1:$E$71,4,0)</f>
        <v>0.50298666666666669</v>
      </c>
      <c r="L5" s="108">
        <f t="shared" si="1"/>
        <v>570.38688000000002</v>
      </c>
      <c r="M5" s="108"/>
      <c r="N5" s="63" t="str">
        <f t="shared" si="2"/>
        <v>Moulin Côteau</v>
      </c>
      <c r="O5" s="172">
        <f>SUMPRODUCT(--(PARCELLAIRE!H$2:H$58=UTILISATIONS!N5))</f>
        <v>0</v>
      </c>
    </row>
    <row r="6" spans="1:15">
      <c r="A6" s="105">
        <v>2013</v>
      </c>
      <c r="B6" s="105" t="str">
        <f>INDEX(PARCELLAIRE!$B$2:$B$29,MATCH(UTILISATIONS!C6,PARCELLAIRE!$D$2:$D$29,0))</f>
        <v>TOURNESOL</v>
      </c>
      <c r="C6" s="105" t="s">
        <v>171</v>
      </c>
      <c r="D6" s="106">
        <v>41108</v>
      </c>
      <c r="E6" s="105" t="s">
        <v>11</v>
      </c>
      <c r="F6" s="105" t="s">
        <v>69</v>
      </c>
      <c r="G6" s="105" t="str">
        <f>VLOOKUP(E6,ACHATS!$C:$D,2,0)</f>
        <v>ENGRAIS</v>
      </c>
      <c r="H6" s="105">
        <v>200</v>
      </c>
      <c r="I6" s="107">
        <f>VLOOKUP(C6,PARCELLAIRE!$D$2:$F$29,3,0)</f>
        <v>4.12</v>
      </c>
      <c r="J6" s="107">
        <f t="shared" si="0"/>
        <v>824</v>
      </c>
      <c r="K6" s="107">
        <f>VLOOKUP(E6,'COUT MOYEN'!$B$1:$E$71,4,0)</f>
        <v>0.50298666666666669</v>
      </c>
      <c r="L6" s="108">
        <f t="shared" si="1"/>
        <v>414.46101333333337</v>
      </c>
      <c r="M6" s="108"/>
      <c r="N6" s="63" t="str">
        <f t="shared" si="2"/>
        <v>Picotalène Midi</v>
      </c>
      <c r="O6" s="172">
        <f>SUMPRODUCT(--(PARCELLAIRE!H$2:H$58=UTILISATIONS!N6))</f>
        <v>0</v>
      </c>
    </row>
    <row r="7" spans="1:15">
      <c r="A7" s="105">
        <v>2013</v>
      </c>
      <c r="B7" s="105" t="str">
        <f>INDEX(PARCELLAIRE!$B$2:$B$29,MATCH(UTILISATIONS!C7,PARCELLAIRE!$D$2:$D$29,0))</f>
        <v>TOURNESOL</v>
      </c>
      <c r="C7" s="105" t="s">
        <v>168</v>
      </c>
      <c r="D7" s="106">
        <v>41108</v>
      </c>
      <c r="E7" s="105" t="s">
        <v>11</v>
      </c>
      <c r="F7" s="105" t="s">
        <v>69</v>
      </c>
      <c r="G7" s="105" t="str">
        <f>VLOOKUP(E7,ACHATS!$C:$D,2,0)</f>
        <v>ENGRAIS</v>
      </c>
      <c r="H7" s="105">
        <v>200</v>
      </c>
      <c r="I7" s="107">
        <f>VLOOKUP(C7,PARCELLAIRE!$D$2:$F$29,3,0)</f>
        <v>4.42</v>
      </c>
      <c r="J7" s="107">
        <f t="shared" si="0"/>
        <v>884</v>
      </c>
      <c r="K7" s="107">
        <f>VLOOKUP(E7,'COUT MOYEN'!$B$1:$E$71,4,0)</f>
        <v>0.50298666666666669</v>
      </c>
      <c r="L7" s="108">
        <f t="shared" si="1"/>
        <v>444.64021333333335</v>
      </c>
      <c r="M7" s="108"/>
      <c r="N7" s="63" t="str">
        <f t="shared" si="2"/>
        <v>Picotalène Nord</v>
      </c>
      <c r="O7" s="172">
        <f>SUMPRODUCT(--(PARCELLAIRE!H$2:H$58=UTILISATIONS!N7))</f>
        <v>0</v>
      </c>
    </row>
    <row r="8" spans="1:15">
      <c r="A8" s="105">
        <v>2013</v>
      </c>
      <c r="B8" s="105" t="str">
        <f>INDEX(PARCELLAIRE!$B$2:$B$29,MATCH(UTILISATIONS!C8,PARCELLAIRE!$D$2:$D$29,0))</f>
        <v>TOURNESOL</v>
      </c>
      <c r="C8" s="105" t="s">
        <v>169</v>
      </c>
      <c r="D8" s="106">
        <v>41108</v>
      </c>
      <c r="E8" s="105" t="s">
        <v>11</v>
      </c>
      <c r="F8" s="105" t="s">
        <v>69</v>
      </c>
      <c r="G8" s="105" t="str">
        <f>VLOOKUP(E8,ACHATS!$C:$D,2,0)</f>
        <v>ENGRAIS</v>
      </c>
      <c r="H8" s="105">
        <v>200</v>
      </c>
      <c r="I8" s="107">
        <f>VLOOKUP(C8,PARCELLAIRE!$D$2:$F$29,3,0)</f>
        <v>12.06</v>
      </c>
      <c r="J8" s="107">
        <f t="shared" si="0"/>
        <v>2412</v>
      </c>
      <c r="K8" s="107">
        <f>VLOOKUP(E8,'COUT MOYEN'!$B$1:$E$71,4,0)</f>
        <v>0.50298666666666669</v>
      </c>
      <c r="L8" s="108">
        <f t="shared" si="1"/>
        <v>1213.2038400000001</v>
      </c>
      <c r="M8" s="108"/>
      <c r="N8" s="63" t="str">
        <f t="shared" si="2"/>
        <v>Pourtanel</v>
      </c>
      <c r="O8" s="172">
        <f>SUMPRODUCT(--(PARCELLAIRE!H$2:H$58=UTILISATIONS!N8))</f>
        <v>0</v>
      </c>
    </row>
    <row r="9" spans="1:15">
      <c r="A9" s="105">
        <v>2013</v>
      </c>
      <c r="B9" s="105" t="str">
        <f>INDEX(PARCELLAIRE!$B$2:$B$29,MATCH(UTILISATIONS!C9,PARCELLAIRE!$D$2:$D$29,0))</f>
        <v>TOURNESOL</v>
      </c>
      <c r="C9" s="105" t="s">
        <v>157</v>
      </c>
      <c r="D9" s="106">
        <v>41108</v>
      </c>
      <c r="E9" s="105" t="s">
        <v>11</v>
      </c>
      <c r="F9" s="105" t="s">
        <v>69</v>
      </c>
      <c r="G9" s="105" t="str">
        <f>VLOOKUP(E9,ACHATS!$C:$D,2,0)</f>
        <v>ENGRAIS</v>
      </c>
      <c r="H9" s="105">
        <v>200</v>
      </c>
      <c r="I9" s="107">
        <f>VLOOKUP(C9,PARCELLAIRE!$D$2:$F$29,3,0)</f>
        <v>5.26</v>
      </c>
      <c r="J9" s="107">
        <f t="shared" si="0"/>
        <v>1052</v>
      </c>
      <c r="K9" s="107">
        <f>VLOOKUP(E9,'COUT MOYEN'!$B$1:$E$71,4,0)</f>
        <v>0.50298666666666669</v>
      </c>
      <c r="L9" s="108">
        <f t="shared" si="1"/>
        <v>529.14197333333334</v>
      </c>
      <c r="M9" s="108"/>
      <c r="N9" s="63" t="str">
        <f t="shared" si="2"/>
        <v>L'Aule métairie</v>
      </c>
      <c r="O9" s="172">
        <f>SUMPRODUCT(--(PARCELLAIRE!H$2:H$58=UTILISATIONS!N9))</f>
        <v>1</v>
      </c>
    </row>
    <row r="10" spans="1:15">
      <c r="A10" s="105">
        <v>2013</v>
      </c>
      <c r="B10" s="105" t="str">
        <f>INDEX(PARCELLAIRE!$B$2:$B$29,MATCH(UTILISATIONS!C10,PARCELLAIRE!$D$2:$D$29,0))</f>
        <v>TOURNESOL</v>
      </c>
      <c r="C10" s="105" t="s">
        <v>158</v>
      </c>
      <c r="D10" s="106">
        <v>41108</v>
      </c>
      <c r="E10" s="105" t="s">
        <v>11</v>
      </c>
      <c r="F10" s="105" t="s">
        <v>69</v>
      </c>
      <c r="G10" s="105" t="str">
        <f>VLOOKUP(E10,ACHATS!$C:$D,2,0)</f>
        <v>ENGRAIS</v>
      </c>
      <c r="H10" s="105">
        <v>200</v>
      </c>
      <c r="I10" s="107">
        <f>VLOOKUP(C10,PARCELLAIRE!$D$2:$F$29,3,0)</f>
        <v>15.64</v>
      </c>
      <c r="J10" s="107">
        <f t="shared" si="0"/>
        <v>3128</v>
      </c>
      <c r="K10" s="107">
        <f>VLOOKUP(E10,'COUT MOYEN'!$B$1:$E$71,4,0)</f>
        <v>0.50298666666666669</v>
      </c>
      <c r="L10" s="108">
        <f t="shared" si="1"/>
        <v>1573.3422933333334</v>
      </c>
      <c r="M10" s="108"/>
      <c r="N10" s="63" t="str">
        <f t="shared" si="2"/>
        <v>L'Aule Plaine</v>
      </c>
      <c r="O10" s="172">
        <f>SUMPRODUCT(--(PARCELLAIRE!H$2:H$58=UTILISATIONS!N10))</f>
        <v>1</v>
      </c>
    </row>
    <row r="11" spans="1:15">
      <c r="A11" s="105">
        <v>2013</v>
      </c>
      <c r="B11" s="105" t="str">
        <f>INDEX(PARCELLAIRE!$B$2:$B$29,MATCH(UTILISATIONS!C11,PARCELLAIRE!$D$2:$D$29,0))</f>
        <v xml:space="preserve">SOJA </v>
      </c>
      <c r="C11" s="105" t="s">
        <v>173</v>
      </c>
      <c r="D11" s="106">
        <v>41113</v>
      </c>
      <c r="E11" s="105" t="s">
        <v>12</v>
      </c>
      <c r="F11" s="105" t="s">
        <v>68</v>
      </c>
      <c r="G11" s="105" t="str">
        <f>VLOOKUP(E11,ACHATS!$C:$D,2,0)</f>
        <v>ENGRAIS</v>
      </c>
      <c r="H11" s="105">
        <v>600</v>
      </c>
      <c r="I11" s="107">
        <f>VLOOKUP(C11,PARCELLAIRE!$D$2:$F$29,3,0)</f>
        <v>8.58</v>
      </c>
      <c r="J11" s="107">
        <f t="shared" si="0"/>
        <v>5148</v>
      </c>
      <c r="K11" s="107">
        <f>VLOOKUP(E11,'COUT MOYEN'!$B$1:$E$71,4,0)</f>
        <v>0.21568181818181817</v>
      </c>
      <c r="L11" s="108">
        <f t="shared" si="1"/>
        <v>1110.33</v>
      </c>
      <c r="M11" s="108"/>
      <c r="N11" s="63" t="str">
        <f t="shared" si="2"/>
        <v>Engleyse Route</v>
      </c>
      <c r="O11" s="172">
        <f>SUMPRODUCT(--(PARCELLAIRE!H$2:H$58=UTILISATIONS!N11))</f>
        <v>0</v>
      </c>
    </row>
    <row r="12" spans="1:15">
      <c r="A12" s="105">
        <v>2013</v>
      </c>
      <c r="B12" s="105" t="str">
        <f>INDEX(PARCELLAIRE!$B$2:$B$29,MATCH(UTILISATIONS!C12,PARCELLAIRE!$D$2:$D$29,0))</f>
        <v>SORGHO</v>
      </c>
      <c r="C12" s="105" t="s">
        <v>149</v>
      </c>
      <c r="D12" s="106">
        <v>41113</v>
      </c>
      <c r="E12" s="105" t="s">
        <v>12</v>
      </c>
      <c r="F12" s="105" t="s">
        <v>68</v>
      </c>
      <c r="G12" s="105" t="str">
        <f>VLOOKUP(E12,ACHATS!$C:$D,2,0)</f>
        <v>ENGRAIS</v>
      </c>
      <c r="H12" s="105">
        <v>600</v>
      </c>
      <c r="I12" s="107">
        <f>VLOOKUP(C12,PARCELLAIRE!$D$2:$F$29,3,0)</f>
        <v>10.93</v>
      </c>
      <c r="J12" s="107">
        <f t="shared" si="0"/>
        <v>6558</v>
      </c>
      <c r="K12" s="107">
        <f>VLOOKUP(E12,'COUT MOYEN'!$B$1:$E$71,4,0)</f>
        <v>0.21568181818181817</v>
      </c>
      <c r="L12" s="108">
        <f t="shared" si="1"/>
        <v>1414.4413636363636</v>
      </c>
      <c r="M12" s="108"/>
      <c r="N12" s="63" t="str">
        <f t="shared" si="2"/>
        <v>Engleyse métairie</v>
      </c>
      <c r="O12" s="172">
        <f>SUMPRODUCT(--(PARCELLAIRE!H$2:H$58=UTILISATIONS!N12))</f>
        <v>0</v>
      </c>
    </row>
    <row r="13" spans="1:15">
      <c r="A13" s="105">
        <v>2013</v>
      </c>
      <c r="B13" s="105" t="str">
        <f>INDEX(PARCELLAIRE!$B$2:$B$29,MATCH(UTILISATIONS!C13,PARCELLAIRE!$D$2:$D$29,0))</f>
        <v xml:space="preserve">SOJA </v>
      </c>
      <c r="C13" s="105" t="s">
        <v>173</v>
      </c>
      <c r="D13" s="106">
        <v>41113</v>
      </c>
      <c r="E13" s="105" t="s">
        <v>12</v>
      </c>
      <c r="F13" s="105" t="s">
        <v>68</v>
      </c>
      <c r="G13" s="105" t="str">
        <f>VLOOKUP(E13,ACHATS!$C:$D,2,0)</f>
        <v>ENGRAIS</v>
      </c>
      <c r="H13" s="105">
        <v>600</v>
      </c>
      <c r="I13" s="107">
        <f>VLOOKUP(C13,PARCELLAIRE!$D$2:$F$29,3,0)</f>
        <v>8.58</v>
      </c>
      <c r="J13" s="107">
        <f t="shared" si="0"/>
        <v>5148</v>
      </c>
      <c r="K13" s="107">
        <f>VLOOKUP(E13,'COUT MOYEN'!$B$1:$E$71,4,0)</f>
        <v>0.21568181818181817</v>
      </c>
      <c r="L13" s="108">
        <f t="shared" si="1"/>
        <v>1110.33</v>
      </c>
      <c r="M13" s="108"/>
      <c r="N13" s="63" t="str">
        <f t="shared" si="2"/>
        <v>Engleyse Route</v>
      </c>
      <c r="O13" s="172">
        <f>SUMPRODUCT(--(PARCELLAIRE!H$2:H$58=UTILISATIONS!N13))</f>
        <v>0</v>
      </c>
    </row>
    <row r="14" spans="1:15">
      <c r="A14" s="105">
        <v>2013</v>
      </c>
      <c r="B14" s="105" t="str">
        <f>INDEX(PARCELLAIRE!$B$2:$B$29,MATCH(UTILISATIONS!C14,PARCELLAIRE!$D$2:$D$29,0))</f>
        <v>BLE TENDRE</v>
      </c>
      <c r="C14" s="105" t="s">
        <v>160</v>
      </c>
      <c r="D14" s="106">
        <v>41113</v>
      </c>
      <c r="E14" s="105" t="s">
        <v>12</v>
      </c>
      <c r="F14" s="105" t="s">
        <v>68</v>
      </c>
      <c r="G14" s="105" t="str">
        <f>VLOOKUP(E14,ACHATS!$C:$D,2,0)</f>
        <v>ENGRAIS</v>
      </c>
      <c r="H14" s="105">
        <v>600</v>
      </c>
      <c r="I14" s="107">
        <f>VLOOKUP(C14,PARCELLAIRE!$D$2:$F$29,3,0)</f>
        <v>17.55</v>
      </c>
      <c r="J14" s="107">
        <f t="shared" si="0"/>
        <v>10530</v>
      </c>
      <c r="K14" s="107">
        <f>VLOOKUP(E14,'COUT MOYEN'!$B$1:$E$71,4,0)</f>
        <v>0.21568181818181817</v>
      </c>
      <c r="L14" s="108">
        <f t="shared" si="1"/>
        <v>2271.1295454545452</v>
      </c>
      <c r="M14" s="108"/>
      <c r="N14" s="63" t="str">
        <f t="shared" si="2"/>
        <v>Labaou Plaine</v>
      </c>
      <c r="O14" s="172">
        <f>SUMPRODUCT(--(PARCELLAIRE!H$2:H$58=UTILISATIONS!N14))</f>
        <v>1</v>
      </c>
    </row>
    <row r="15" spans="1:15">
      <c r="A15" s="105">
        <v>2013</v>
      </c>
      <c r="B15" s="105" t="str">
        <f>INDEX(PARCELLAIRE!$B$2:$B$29,MATCH(UTILISATIONS!C15,PARCELLAIRE!$D$2:$D$29,0))</f>
        <v>TOURNESOL</v>
      </c>
      <c r="C15" s="105" t="s">
        <v>158</v>
      </c>
      <c r="D15" s="106">
        <v>41155</v>
      </c>
      <c r="E15" s="105" t="s">
        <v>16</v>
      </c>
      <c r="F15" s="105" t="s">
        <v>69</v>
      </c>
      <c r="G15" s="105" t="str">
        <f>VLOOKUP(E15,ACHATS!$C:$D,2,0)</f>
        <v>DESHERBANT</v>
      </c>
      <c r="H15" s="105">
        <v>1</v>
      </c>
      <c r="I15" s="107">
        <f>VLOOKUP(C15,PARCELLAIRE!$D$2:$F$29,3,0)</f>
        <v>15.64</v>
      </c>
      <c r="J15" s="107">
        <f t="shared" si="0"/>
        <v>15.64</v>
      </c>
      <c r="K15" s="107">
        <f>VLOOKUP(E15,'COUT MOYEN'!$B$1:$E$71,4,0)</f>
        <v>4.9381521739130436</v>
      </c>
      <c r="L15" s="108">
        <f t="shared" si="1"/>
        <v>77.232700000000008</v>
      </c>
      <c r="M15" s="108"/>
      <c r="N15" s="63" t="str">
        <f t="shared" si="2"/>
        <v>L'Aule Plaine</v>
      </c>
      <c r="O15" s="172">
        <f>SUMPRODUCT(--(PARCELLAIRE!H$2:H$58=UTILISATIONS!N15))</f>
        <v>1</v>
      </c>
    </row>
    <row r="16" spans="1:15">
      <c r="A16" s="105">
        <v>2013</v>
      </c>
      <c r="B16" s="105" t="str">
        <f>INDEX(PARCELLAIRE!$B$2:$B$29,MATCH(UTILISATIONS!C16,PARCELLAIRE!$D$2:$D$29,0))</f>
        <v>TOURNESOL</v>
      </c>
      <c r="C16" s="105" t="s">
        <v>157</v>
      </c>
      <c r="D16" s="106">
        <v>41155</v>
      </c>
      <c r="E16" s="105" t="s">
        <v>16</v>
      </c>
      <c r="F16" s="105" t="s">
        <v>69</v>
      </c>
      <c r="G16" s="105" t="str">
        <f>VLOOKUP(E16,ACHATS!$C:$D,2,0)</f>
        <v>DESHERBANT</v>
      </c>
      <c r="H16" s="105">
        <v>1</v>
      </c>
      <c r="I16" s="107">
        <f>VLOOKUP(C16,PARCELLAIRE!$D$2:$F$29,3,0)</f>
        <v>5.26</v>
      </c>
      <c r="J16" s="107">
        <f t="shared" si="0"/>
        <v>5.26</v>
      </c>
      <c r="K16" s="107">
        <f>VLOOKUP(E16,'COUT MOYEN'!$B$1:$E$71,4,0)</f>
        <v>4.9381521739130436</v>
      </c>
      <c r="L16" s="108">
        <f t="shared" si="1"/>
        <v>25.974680434782609</v>
      </c>
      <c r="M16" s="108"/>
      <c r="N16" s="63" t="str">
        <f t="shared" si="2"/>
        <v>L'Aule métairie</v>
      </c>
      <c r="O16" s="172">
        <f>SUMPRODUCT(--(PARCELLAIRE!H$2:H$58=UTILISATIONS!N16))</f>
        <v>1</v>
      </c>
    </row>
    <row r="17" spans="1:15">
      <c r="A17" s="105">
        <v>2013</v>
      </c>
      <c r="B17" s="105" t="str">
        <f>INDEX(PARCELLAIRE!$B$2:$B$29,MATCH(UTILISATIONS!C17,PARCELLAIRE!$D$2:$D$29,0))</f>
        <v>TOURNESOL</v>
      </c>
      <c r="C17" s="105" t="s">
        <v>168</v>
      </c>
      <c r="D17" s="106">
        <v>41155</v>
      </c>
      <c r="E17" s="105" t="s">
        <v>16</v>
      </c>
      <c r="F17" s="105" t="s">
        <v>69</v>
      </c>
      <c r="G17" s="105" t="str">
        <f>VLOOKUP(E17,ACHATS!$C:$D,2,0)</f>
        <v>DESHERBANT</v>
      </c>
      <c r="H17" s="105">
        <v>1</v>
      </c>
      <c r="I17" s="107">
        <f>VLOOKUP(C17,PARCELLAIRE!$D$2:$F$29,3,0)</f>
        <v>4.42</v>
      </c>
      <c r="J17" s="107">
        <f t="shared" si="0"/>
        <v>4.42</v>
      </c>
      <c r="K17" s="107">
        <f>VLOOKUP(E17,'COUT MOYEN'!$B$1:$E$71,4,0)</f>
        <v>4.9381521739130436</v>
      </c>
      <c r="L17" s="108">
        <f t="shared" si="1"/>
        <v>21.826632608695654</v>
      </c>
      <c r="M17" s="108"/>
      <c r="N17" s="63" t="str">
        <f t="shared" si="2"/>
        <v>Picotalène Nord</v>
      </c>
      <c r="O17" s="172">
        <f>SUMPRODUCT(--(PARCELLAIRE!H$2:H$58=UTILISATIONS!N17))</f>
        <v>0</v>
      </c>
    </row>
    <row r="18" spans="1:15">
      <c r="A18" s="105">
        <v>2013</v>
      </c>
      <c r="B18" s="105" t="str">
        <f>INDEX(PARCELLAIRE!$B$2:$B$29,MATCH(UTILISATIONS!C18,PARCELLAIRE!$D$2:$D$29,0))</f>
        <v>TOURNESOL</v>
      </c>
      <c r="C18" s="105" t="s">
        <v>169</v>
      </c>
      <c r="D18" s="106">
        <v>41155</v>
      </c>
      <c r="E18" s="105" t="s">
        <v>16</v>
      </c>
      <c r="F18" s="105" t="s">
        <v>69</v>
      </c>
      <c r="G18" s="105" t="str">
        <f>VLOOKUP(E18,ACHATS!$C:$D,2,0)</f>
        <v>DESHERBANT</v>
      </c>
      <c r="H18" s="105">
        <v>1</v>
      </c>
      <c r="I18" s="107">
        <f>VLOOKUP(C18,PARCELLAIRE!$D$2:$F$29,3,0)</f>
        <v>12.06</v>
      </c>
      <c r="J18" s="107">
        <f t="shared" si="0"/>
        <v>12.06</v>
      </c>
      <c r="K18" s="107">
        <f>VLOOKUP(E18,'COUT MOYEN'!$B$1:$E$71,4,0)</f>
        <v>4.9381521739130436</v>
      </c>
      <c r="L18" s="108">
        <f t="shared" si="1"/>
        <v>59.554115217391306</v>
      </c>
      <c r="M18" s="108"/>
      <c r="N18" s="63" t="str">
        <f t="shared" si="2"/>
        <v>Pourtanel</v>
      </c>
      <c r="O18" s="172">
        <f>SUMPRODUCT(--(PARCELLAIRE!H$2:H$58=UTILISATIONS!N18))</f>
        <v>0</v>
      </c>
    </row>
    <row r="19" spans="1:15">
      <c r="A19" s="105">
        <v>2013</v>
      </c>
      <c r="B19" s="105" t="str">
        <f>INDEX(PARCELLAIRE!$B$2:$B$29,MATCH(UTILISATIONS!C19,PARCELLAIRE!$D$2:$D$29,0))</f>
        <v>TOURNESOL</v>
      </c>
      <c r="C19" s="105" t="s">
        <v>171</v>
      </c>
      <c r="D19" s="106">
        <v>41155</v>
      </c>
      <c r="E19" s="105" t="s">
        <v>16</v>
      </c>
      <c r="F19" s="105" t="s">
        <v>69</v>
      </c>
      <c r="G19" s="105" t="str">
        <f>VLOOKUP(E19,ACHATS!$C:$D,2,0)</f>
        <v>DESHERBANT</v>
      </c>
      <c r="H19" s="105">
        <v>1</v>
      </c>
      <c r="I19" s="107">
        <f>VLOOKUP(C19,PARCELLAIRE!$D$2:$F$29,3,0)</f>
        <v>4.12</v>
      </c>
      <c r="J19" s="107">
        <f t="shared" si="0"/>
        <v>4.12</v>
      </c>
      <c r="K19" s="107">
        <f>VLOOKUP(E19,'COUT MOYEN'!$B$1:$E$71,4,0)</f>
        <v>4.9381521739130436</v>
      </c>
      <c r="L19" s="108">
        <f t="shared" si="1"/>
        <v>20.34518695652174</v>
      </c>
      <c r="M19" s="108"/>
      <c r="N19" s="63" t="str">
        <f t="shared" si="2"/>
        <v>Picotalène Midi</v>
      </c>
      <c r="O19" s="172">
        <f>SUMPRODUCT(--(PARCELLAIRE!H$2:H$58=UTILISATIONS!N19))</f>
        <v>0</v>
      </c>
    </row>
    <row r="20" spans="1:15">
      <c r="A20" s="105">
        <v>2013</v>
      </c>
      <c r="B20" s="105" t="str">
        <f>INDEX(PARCELLAIRE!$B$2:$B$29,MATCH(UTILISATIONS!C20,PARCELLAIRE!$D$2:$D$29,0))</f>
        <v>TOURNESOL</v>
      </c>
      <c r="C20" s="105" t="s">
        <v>165</v>
      </c>
      <c r="D20" s="106">
        <v>41155</v>
      </c>
      <c r="E20" s="105" t="s">
        <v>16</v>
      </c>
      <c r="F20" s="105" t="s">
        <v>69</v>
      </c>
      <c r="G20" s="105" t="str">
        <f>VLOOKUP(E20,ACHATS!$C:$D,2,0)</f>
        <v>DESHERBANT</v>
      </c>
      <c r="H20" s="105">
        <v>1</v>
      </c>
      <c r="I20" s="107">
        <f>VLOOKUP(C20,PARCELLAIRE!$D$2:$F$29,3,0)</f>
        <v>5.67</v>
      </c>
      <c r="J20" s="107">
        <f t="shared" si="0"/>
        <v>5.67</v>
      </c>
      <c r="K20" s="107">
        <f>VLOOKUP(E20,'COUT MOYEN'!$B$1:$E$71,4,0)</f>
        <v>4.9381521739130436</v>
      </c>
      <c r="L20" s="108">
        <f t="shared" si="1"/>
        <v>27.999322826086956</v>
      </c>
      <c r="M20" s="108"/>
      <c r="N20" s="63" t="str">
        <f t="shared" si="2"/>
        <v>Moulin Côteau</v>
      </c>
      <c r="O20" s="172">
        <f>SUMPRODUCT(--(PARCELLAIRE!H$2:H$58=UTILISATIONS!N20))</f>
        <v>0</v>
      </c>
    </row>
    <row r="21" spans="1:15">
      <c r="A21" s="105">
        <v>2013</v>
      </c>
      <c r="B21" s="105" t="str">
        <f>INDEX(PARCELLAIRE!$B$2:$B$29,MATCH(UTILISATIONS!C21,PARCELLAIRE!$D$2:$D$29,0))</f>
        <v>TOURNESOL</v>
      </c>
      <c r="C21" s="105" t="s">
        <v>164</v>
      </c>
      <c r="D21" s="106">
        <v>41155</v>
      </c>
      <c r="E21" s="105" t="s">
        <v>16</v>
      </c>
      <c r="F21" s="105" t="s">
        <v>69</v>
      </c>
      <c r="G21" s="105" t="str">
        <f>VLOOKUP(E21,ACHATS!$C:$D,2,0)</f>
        <v>DESHERBANT</v>
      </c>
      <c r="H21" s="105">
        <v>1</v>
      </c>
      <c r="I21" s="107">
        <f>VLOOKUP(C21,PARCELLAIRE!$D$2:$F$29,3,0)</f>
        <v>21.88</v>
      </c>
      <c r="J21" s="107">
        <f t="shared" si="0"/>
        <v>21.88</v>
      </c>
      <c r="K21" s="107">
        <f>VLOOKUP(E21,'COUT MOYEN'!$B$1:$E$71,4,0)</f>
        <v>4.9381521739130436</v>
      </c>
      <c r="L21" s="108">
        <f t="shared" si="1"/>
        <v>108.04676956521739</v>
      </c>
      <c r="M21" s="108"/>
      <c r="N21" s="63" t="str">
        <f t="shared" si="2"/>
        <v>Moulin Barthes</v>
      </c>
      <c r="O21" s="172">
        <f>SUMPRODUCT(--(PARCELLAIRE!H$2:H$58=UTILISATIONS!N21))</f>
        <v>0</v>
      </c>
    </row>
    <row r="22" spans="1:15">
      <c r="A22" s="105">
        <v>2013</v>
      </c>
      <c r="B22" s="105" t="str">
        <f>INDEX(PARCELLAIRE!$B$2:$B$29,MATCH(UTILISATIONS!C22,PARCELLAIRE!$D$2:$D$29,0))</f>
        <v xml:space="preserve">SOJA </v>
      </c>
      <c r="C22" s="105" t="s">
        <v>173</v>
      </c>
      <c r="D22" s="106">
        <v>41155</v>
      </c>
      <c r="E22" s="105" t="s">
        <v>16</v>
      </c>
      <c r="F22" s="105" t="s">
        <v>69</v>
      </c>
      <c r="G22" s="105" t="str">
        <f>VLOOKUP(E22,ACHATS!$C:$D,2,0)</f>
        <v>DESHERBANT</v>
      </c>
      <c r="H22" s="105">
        <v>1</v>
      </c>
      <c r="I22" s="107">
        <f>VLOOKUP(C22,PARCELLAIRE!$D$2:$F$29,3,0)</f>
        <v>8.58</v>
      </c>
      <c r="J22" s="107">
        <f t="shared" si="0"/>
        <v>8.58</v>
      </c>
      <c r="K22" s="107">
        <f>VLOOKUP(E22,'COUT MOYEN'!$B$1:$E$71,4,0)</f>
        <v>4.9381521739130436</v>
      </c>
      <c r="L22" s="108">
        <f t="shared" si="1"/>
        <v>42.369345652173912</v>
      </c>
      <c r="M22" s="108"/>
      <c r="N22" s="63" t="str">
        <f t="shared" si="2"/>
        <v>Engleyse Route</v>
      </c>
      <c r="O22" s="172">
        <f>SUMPRODUCT(--(PARCELLAIRE!H$2:H$58=UTILISATIONS!N22))</f>
        <v>0</v>
      </c>
    </row>
    <row r="23" spans="1:15">
      <c r="A23" s="105">
        <v>2013</v>
      </c>
      <c r="B23" s="105" t="str">
        <f>INDEX(PARCELLAIRE!$B$2:$B$29,MATCH(UTILISATIONS!C23,PARCELLAIRE!$D$2:$D$29,0))</f>
        <v>TOURNESOL</v>
      </c>
      <c r="C23" s="105" t="s">
        <v>175</v>
      </c>
      <c r="D23" s="106">
        <v>41155</v>
      </c>
      <c r="E23" s="105" t="s">
        <v>16</v>
      </c>
      <c r="F23" s="105" t="s">
        <v>69</v>
      </c>
      <c r="G23" s="105" t="str">
        <f>VLOOKUP(E23,ACHATS!$C:$D,2,0)</f>
        <v>DESHERBANT</v>
      </c>
      <c r="H23" s="105">
        <v>1</v>
      </c>
      <c r="I23" s="107">
        <f>VLOOKUP(C23,PARCELLAIRE!$D$2:$F$29,3,0)</f>
        <v>2.33</v>
      </c>
      <c r="J23" s="107">
        <f t="shared" si="0"/>
        <v>2.33</v>
      </c>
      <c r="K23" s="107">
        <f>VLOOKUP(E23,'COUT MOYEN'!$B$1:$E$71,4,0)</f>
        <v>4.9381521739130436</v>
      </c>
      <c r="L23" s="108">
        <f t="shared" si="1"/>
        <v>11.505894565217393</v>
      </c>
      <c r="M23" s="108"/>
      <c r="N23" s="63" t="str">
        <f t="shared" si="2"/>
        <v>Bousquet Pourtanel</v>
      </c>
      <c r="O23" s="172">
        <f>SUMPRODUCT(--(PARCELLAIRE!H$2:H$58=UTILISATIONS!N23))</f>
        <v>0</v>
      </c>
    </row>
    <row r="24" spans="1:15">
      <c r="A24" s="105">
        <v>2013</v>
      </c>
      <c r="B24" s="105" t="str">
        <f>INDEX(PARCELLAIRE!$B$2:$B$29,MATCH(UTILISATIONS!C24,PARCELLAIRE!$D$2:$D$29,0))</f>
        <v>TOURNESOL</v>
      </c>
      <c r="C24" s="105" t="s">
        <v>143</v>
      </c>
      <c r="D24" s="106">
        <v>41155</v>
      </c>
      <c r="E24" s="105" t="s">
        <v>16</v>
      </c>
      <c r="F24" s="105" t="s">
        <v>69</v>
      </c>
      <c r="G24" s="105" t="str">
        <f>VLOOKUP(E24,ACHATS!$C:$D,2,0)</f>
        <v>DESHERBANT</v>
      </c>
      <c r="H24" s="105">
        <v>1</v>
      </c>
      <c r="I24" s="107">
        <f>VLOOKUP(C24,PARCELLAIRE!$D$2:$F$29,3,0)</f>
        <v>5.17</v>
      </c>
      <c r="J24" s="107">
        <f t="shared" si="0"/>
        <v>5.17</v>
      </c>
      <c r="K24" s="107">
        <f>VLOOKUP(E24,'COUT MOYEN'!$B$1:$E$71,4,0)</f>
        <v>4.9381521739130436</v>
      </c>
      <c r="L24" s="108">
        <f t="shared" si="1"/>
        <v>25.530246739130437</v>
      </c>
      <c r="M24" s="108"/>
      <c r="N24" s="63" t="str">
        <f t="shared" si="2"/>
        <v>Andres</v>
      </c>
      <c r="O24" s="172">
        <f>SUMPRODUCT(--(PARCELLAIRE!H$2:H$58=UTILISATIONS!N24))</f>
        <v>0</v>
      </c>
    </row>
    <row r="25" spans="1:15">
      <c r="A25" s="105">
        <v>2013</v>
      </c>
      <c r="B25" s="105" t="str">
        <f>INDEX(PARCELLAIRE!$B$2:$B$29,MATCH(UTILISATIONS!C25,PARCELLAIRE!$D$2:$D$29,0))</f>
        <v>TOURNESOL</v>
      </c>
      <c r="C25" s="105" t="s">
        <v>143</v>
      </c>
      <c r="D25" s="106">
        <v>41155</v>
      </c>
      <c r="E25" s="105" t="s">
        <v>25</v>
      </c>
      <c r="F25" s="105" t="s">
        <v>69</v>
      </c>
      <c r="G25" s="105" t="str">
        <f>VLOOKUP(E25,ACHATS!$C:$D,2,0)</f>
        <v>DIVERS</v>
      </c>
      <c r="H25" s="105">
        <v>0.2</v>
      </c>
      <c r="I25" s="107">
        <f>VLOOKUP(C25,PARCELLAIRE!$D$2:$F$29,3,0)</f>
        <v>5.17</v>
      </c>
      <c r="J25" s="107">
        <f t="shared" si="0"/>
        <v>1.034</v>
      </c>
      <c r="K25" s="107">
        <f>VLOOKUP(E25,'COUT MOYEN'!$B$1:$E$71,4,0)</f>
        <v>11.01</v>
      </c>
      <c r="L25" s="108">
        <f t="shared" si="1"/>
        <v>11.38434</v>
      </c>
      <c r="M25" s="108"/>
      <c r="N25" s="63" t="str">
        <f t="shared" si="2"/>
        <v>Andres</v>
      </c>
      <c r="O25" s="172">
        <f>SUMPRODUCT(--(PARCELLAIRE!H$2:H$58=UTILISATIONS!N25))</f>
        <v>0</v>
      </c>
    </row>
    <row r="26" spans="1:15">
      <c r="A26" s="105">
        <v>2013</v>
      </c>
      <c r="B26" s="105" t="str">
        <f>INDEX(PARCELLAIRE!$B$2:$B$29,MATCH(UTILISATIONS!C26,PARCELLAIRE!$D$2:$D$29,0))</f>
        <v>TOURNESOL</v>
      </c>
      <c r="C26" s="105" t="s">
        <v>175</v>
      </c>
      <c r="D26" s="106">
        <v>41155</v>
      </c>
      <c r="E26" s="105" t="s">
        <v>25</v>
      </c>
      <c r="F26" s="105" t="s">
        <v>69</v>
      </c>
      <c r="G26" s="105" t="str">
        <f>VLOOKUP(E26,ACHATS!$C:$D,2,0)</f>
        <v>DIVERS</v>
      </c>
      <c r="H26" s="105">
        <v>0.2</v>
      </c>
      <c r="I26" s="107">
        <f>VLOOKUP(C26,PARCELLAIRE!$D$2:$F$29,3,0)</f>
        <v>2.33</v>
      </c>
      <c r="J26" s="107">
        <f t="shared" si="0"/>
        <v>0.46600000000000003</v>
      </c>
      <c r="K26" s="107">
        <f>VLOOKUP(E26,'COUT MOYEN'!$B$1:$E$71,4,0)</f>
        <v>11.01</v>
      </c>
      <c r="L26" s="108">
        <f t="shared" si="1"/>
        <v>5.1306599999999998</v>
      </c>
      <c r="M26" s="108"/>
      <c r="N26" s="63" t="str">
        <f t="shared" si="2"/>
        <v>Bousquet Pourtanel</v>
      </c>
      <c r="O26" s="172">
        <f>SUMPRODUCT(--(PARCELLAIRE!H$2:H$58=UTILISATIONS!N26))</f>
        <v>0</v>
      </c>
    </row>
    <row r="27" spans="1:15">
      <c r="A27" s="105">
        <v>2013</v>
      </c>
      <c r="B27" s="105" t="str">
        <f>INDEX(PARCELLAIRE!$B$2:$B$29,MATCH(UTILISATIONS!C27,PARCELLAIRE!$D$2:$D$29,0))</f>
        <v xml:space="preserve">SOJA </v>
      </c>
      <c r="C27" s="105" t="s">
        <v>173</v>
      </c>
      <c r="D27" s="106">
        <v>41155</v>
      </c>
      <c r="E27" s="105" t="s">
        <v>25</v>
      </c>
      <c r="F27" s="105" t="s">
        <v>69</v>
      </c>
      <c r="G27" s="105" t="str">
        <f>VLOOKUP(E27,ACHATS!$C:$D,2,0)</f>
        <v>DIVERS</v>
      </c>
      <c r="H27" s="105">
        <v>0.2</v>
      </c>
      <c r="I27" s="107">
        <f>VLOOKUP(C27,PARCELLAIRE!$D$2:$F$29,3,0)</f>
        <v>8.58</v>
      </c>
      <c r="J27" s="107">
        <f t="shared" si="0"/>
        <v>1.7160000000000002</v>
      </c>
      <c r="K27" s="107">
        <f>VLOOKUP(E27,'COUT MOYEN'!$B$1:$E$71,4,0)</f>
        <v>11.01</v>
      </c>
      <c r="L27" s="108">
        <f t="shared" si="1"/>
        <v>18.893160000000002</v>
      </c>
      <c r="M27" s="108"/>
      <c r="N27" s="63" t="str">
        <f t="shared" si="2"/>
        <v>Engleyse Route</v>
      </c>
      <c r="O27" s="172">
        <f>SUMPRODUCT(--(PARCELLAIRE!H$2:H$58=UTILISATIONS!N27))</f>
        <v>0</v>
      </c>
    </row>
    <row r="28" spans="1:15">
      <c r="A28" s="105">
        <v>2013</v>
      </c>
      <c r="B28" s="105" t="str">
        <f>INDEX(PARCELLAIRE!$B$2:$B$29,MATCH(UTILISATIONS!C28,PARCELLAIRE!$D$2:$D$29,0))</f>
        <v>TOURNESOL</v>
      </c>
      <c r="C28" s="105" t="s">
        <v>164</v>
      </c>
      <c r="D28" s="106">
        <v>41155</v>
      </c>
      <c r="E28" s="105" t="s">
        <v>25</v>
      </c>
      <c r="F28" s="105" t="s">
        <v>69</v>
      </c>
      <c r="G28" s="105" t="str">
        <f>VLOOKUP(E28,ACHATS!$C:$D,2,0)</f>
        <v>DIVERS</v>
      </c>
      <c r="H28" s="105">
        <v>0.2</v>
      </c>
      <c r="I28" s="107">
        <f>VLOOKUP(C28,PARCELLAIRE!$D$2:$F$29,3,0)</f>
        <v>21.88</v>
      </c>
      <c r="J28" s="107">
        <f t="shared" si="0"/>
        <v>4.3760000000000003</v>
      </c>
      <c r="K28" s="107">
        <f>VLOOKUP(E28,'COUT MOYEN'!$B$1:$E$71,4,0)</f>
        <v>11.01</v>
      </c>
      <c r="L28" s="108">
        <f t="shared" si="1"/>
        <v>48.179760000000002</v>
      </c>
      <c r="M28" s="108"/>
      <c r="N28" s="63" t="str">
        <f t="shared" si="2"/>
        <v>Moulin Barthes</v>
      </c>
      <c r="O28" s="172">
        <f>SUMPRODUCT(--(PARCELLAIRE!H$2:H$58=UTILISATIONS!N28))</f>
        <v>0</v>
      </c>
    </row>
    <row r="29" spans="1:15">
      <c r="A29" s="105">
        <v>2013</v>
      </c>
      <c r="B29" s="105" t="str">
        <f>INDEX(PARCELLAIRE!$B$2:$B$29,MATCH(UTILISATIONS!C29,PARCELLAIRE!$D$2:$D$29,0))</f>
        <v>TOURNESOL</v>
      </c>
      <c r="C29" s="105" t="s">
        <v>165</v>
      </c>
      <c r="D29" s="106">
        <v>41155</v>
      </c>
      <c r="E29" s="105" t="s">
        <v>25</v>
      </c>
      <c r="F29" s="105" t="s">
        <v>69</v>
      </c>
      <c r="G29" s="105" t="str">
        <f>VLOOKUP(E29,ACHATS!$C:$D,2,0)</f>
        <v>DIVERS</v>
      </c>
      <c r="H29" s="105">
        <v>0.2</v>
      </c>
      <c r="I29" s="107">
        <f>VLOOKUP(C29,PARCELLAIRE!$D$2:$F$29,3,0)</f>
        <v>5.67</v>
      </c>
      <c r="J29" s="107">
        <f t="shared" si="0"/>
        <v>1.1340000000000001</v>
      </c>
      <c r="K29" s="107">
        <f>VLOOKUP(E29,'COUT MOYEN'!$B$1:$E$71,4,0)</f>
        <v>11.01</v>
      </c>
      <c r="L29" s="108">
        <f t="shared" si="1"/>
        <v>12.485340000000001</v>
      </c>
      <c r="M29" s="108"/>
      <c r="N29" s="63" t="str">
        <f t="shared" si="2"/>
        <v>Moulin Côteau</v>
      </c>
      <c r="O29" s="172">
        <f>SUMPRODUCT(--(PARCELLAIRE!H$2:H$58=UTILISATIONS!N29))</f>
        <v>0</v>
      </c>
    </row>
    <row r="30" spans="1:15">
      <c r="A30" s="105">
        <v>2013</v>
      </c>
      <c r="B30" s="105" t="str">
        <f>INDEX(PARCELLAIRE!$B$2:$B$29,MATCH(UTILISATIONS!C30,PARCELLAIRE!$D$2:$D$29,0))</f>
        <v>TOURNESOL</v>
      </c>
      <c r="C30" s="105" t="s">
        <v>171</v>
      </c>
      <c r="D30" s="106">
        <v>41155</v>
      </c>
      <c r="E30" s="105" t="s">
        <v>25</v>
      </c>
      <c r="F30" s="105" t="s">
        <v>69</v>
      </c>
      <c r="G30" s="105" t="str">
        <f>VLOOKUP(E30,ACHATS!$C:$D,2,0)</f>
        <v>DIVERS</v>
      </c>
      <c r="H30" s="105">
        <v>0.2</v>
      </c>
      <c r="I30" s="107">
        <f>VLOOKUP(C30,PARCELLAIRE!$D$2:$F$29,3,0)</f>
        <v>4.12</v>
      </c>
      <c r="J30" s="107">
        <f t="shared" si="0"/>
        <v>0.82400000000000007</v>
      </c>
      <c r="K30" s="107">
        <f>VLOOKUP(E30,'COUT MOYEN'!$B$1:$E$71,4,0)</f>
        <v>11.01</v>
      </c>
      <c r="L30" s="108">
        <f t="shared" si="1"/>
        <v>9.0722400000000007</v>
      </c>
      <c r="M30" s="108"/>
      <c r="N30" s="63" t="str">
        <f t="shared" si="2"/>
        <v>Picotalène Midi</v>
      </c>
      <c r="O30" s="172">
        <f>SUMPRODUCT(--(PARCELLAIRE!H$2:H$58=UTILISATIONS!N30))</f>
        <v>0</v>
      </c>
    </row>
    <row r="31" spans="1:15">
      <c r="A31" s="105">
        <v>2013</v>
      </c>
      <c r="B31" s="105" t="str">
        <f>INDEX(PARCELLAIRE!$B$2:$B$29,MATCH(UTILISATIONS!C31,PARCELLAIRE!$D$2:$D$29,0))</f>
        <v>TOURNESOL</v>
      </c>
      <c r="C31" s="105" t="s">
        <v>169</v>
      </c>
      <c r="D31" s="106">
        <v>41155</v>
      </c>
      <c r="E31" s="105" t="s">
        <v>25</v>
      </c>
      <c r="F31" s="105" t="s">
        <v>69</v>
      </c>
      <c r="G31" s="105" t="str">
        <f>VLOOKUP(E31,ACHATS!$C:$D,2,0)</f>
        <v>DIVERS</v>
      </c>
      <c r="H31" s="105">
        <v>0.2</v>
      </c>
      <c r="I31" s="107">
        <f>VLOOKUP(C31,PARCELLAIRE!$D$2:$F$29,3,0)</f>
        <v>12.06</v>
      </c>
      <c r="J31" s="107">
        <f t="shared" si="0"/>
        <v>2.4120000000000004</v>
      </c>
      <c r="K31" s="107">
        <f>VLOOKUP(E31,'COUT MOYEN'!$B$1:$E$71,4,0)</f>
        <v>11.01</v>
      </c>
      <c r="L31" s="108">
        <f t="shared" si="1"/>
        <v>26.556120000000004</v>
      </c>
      <c r="M31" s="108"/>
      <c r="N31" s="63" t="str">
        <f t="shared" si="2"/>
        <v>Pourtanel</v>
      </c>
      <c r="O31" s="172">
        <f>SUMPRODUCT(--(PARCELLAIRE!H$2:H$58=UTILISATIONS!N31))</f>
        <v>0</v>
      </c>
    </row>
    <row r="32" spans="1:15">
      <c r="A32" s="105">
        <v>2013</v>
      </c>
      <c r="B32" s="105" t="str">
        <f>INDEX(PARCELLAIRE!$B$2:$B$29,MATCH(UTILISATIONS!C32,PARCELLAIRE!$D$2:$D$29,0))</f>
        <v>TOURNESOL</v>
      </c>
      <c r="C32" s="105" t="s">
        <v>168</v>
      </c>
      <c r="D32" s="106">
        <v>41155</v>
      </c>
      <c r="E32" s="105" t="s">
        <v>25</v>
      </c>
      <c r="F32" s="105" t="s">
        <v>69</v>
      </c>
      <c r="G32" s="105" t="str">
        <f>VLOOKUP(E32,ACHATS!$C:$D,2,0)</f>
        <v>DIVERS</v>
      </c>
      <c r="H32" s="105">
        <v>0.2</v>
      </c>
      <c r="I32" s="107">
        <f>VLOOKUP(C32,PARCELLAIRE!$D$2:$F$29,3,0)</f>
        <v>4.42</v>
      </c>
      <c r="J32" s="107">
        <f t="shared" si="0"/>
        <v>0.88400000000000001</v>
      </c>
      <c r="K32" s="107">
        <f>VLOOKUP(E32,'COUT MOYEN'!$B$1:$E$71,4,0)</f>
        <v>11.01</v>
      </c>
      <c r="L32" s="108">
        <f t="shared" si="1"/>
        <v>9.7328399999999995</v>
      </c>
      <c r="M32" s="108"/>
      <c r="N32" s="63" t="str">
        <f t="shared" si="2"/>
        <v>Picotalène Nord</v>
      </c>
      <c r="O32" s="172">
        <f>SUMPRODUCT(--(PARCELLAIRE!H$2:H$58=UTILISATIONS!N32))</f>
        <v>0</v>
      </c>
    </row>
    <row r="33" spans="1:15">
      <c r="A33" s="105">
        <v>2013</v>
      </c>
      <c r="B33" s="105" t="str">
        <f>INDEX(PARCELLAIRE!$B$2:$B$29,MATCH(UTILISATIONS!C33,PARCELLAIRE!$D$2:$D$29,0))</f>
        <v>TOURNESOL</v>
      </c>
      <c r="C33" s="105" t="s">
        <v>157</v>
      </c>
      <c r="D33" s="106">
        <v>41155</v>
      </c>
      <c r="E33" s="105" t="s">
        <v>25</v>
      </c>
      <c r="F33" s="105" t="s">
        <v>69</v>
      </c>
      <c r="G33" s="105" t="str">
        <f>VLOOKUP(E33,ACHATS!$C:$D,2,0)</f>
        <v>DIVERS</v>
      </c>
      <c r="H33" s="105">
        <v>0.2</v>
      </c>
      <c r="I33" s="107">
        <f>VLOOKUP(C33,PARCELLAIRE!$D$2:$F$29,3,0)</f>
        <v>5.26</v>
      </c>
      <c r="J33" s="107">
        <f t="shared" si="0"/>
        <v>1.052</v>
      </c>
      <c r="K33" s="107">
        <f>VLOOKUP(E33,'COUT MOYEN'!$B$1:$E$71,4,0)</f>
        <v>11.01</v>
      </c>
      <c r="L33" s="108">
        <f t="shared" si="1"/>
        <v>11.582520000000001</v>
      </c>
      <c r="M33" s="108"/>
      <c r="N33" s="63" t="str">
        <f t="shared" si="2"/>
        <v>L'Aule métairie</v>
      </c>
      <c r="O33" s="172">
        <f>SUMPRODUCT(--(PARCELLAIRE!H$2:H$58=UTILISATIONS!N33))</f>
        <v>1</v>
      </c>
    </row>
    <row r="34" spans="1:15">
      <c r="A34" s="105">
        <v>2013</v>
      </c>
      <c r="B34" s="105" t="str">
        <f>INDEX(PARCELLAIRE!$B$2:$B$29,MATCH(UTILISATIONS!C34,PARCELLAIRE!$D$2:$D$29,0))</f>
        <v>TOURNESOL</v>
      </c>
      <c r="C34" s="105" t="s">
        <v>158</v>
      </c>
      <c r="D34" s="106">
        <v>41155</v>
      </c>
      <c r="E34" s="105" t="s">
        <v>25</v>
      </c>
      <c r="F34" s="105" t="s">
        <v>69</v>
      </c>
      <c r="G34" s="105" t="str">
        <f>VLOOKUP(E34,ACHATS!$C:$D,2,0)</f>
        <v>DIVERS</v>
      </c>
      <c r="H34" s="105">
        <v>0.2</v>
      </c>
      <c r="I34" s="107">
        <f>VLOOKUP(C34,PARCELLAIRE!$D$2:$F$29,3,0)</f>
        <v>15.64</v>
      </c>
      <c r="J34" s="107">
        <f t="shared" si="0"/>
        <v>3.1280000000000001</v>
      </c>
      <c r="K34" s="107">
        <f>VLOOKUP(E34,'COUT MOYEN'!$B$1:$E$71,4,0)</f>
        <v>11.01</v>
      </c>
      <c r="L34" s="108">
        <f t="shared" si="1"/>
        <v>34.439280000000004</v>
      </c>
      <c r="M34" s="108"/>
      <c r="N34" s="63" t="str">
        <f t="shared" si="2"/>
        <v>L'Aule Plaine</v>
      </c>
      <c r="O34" s="172">
        <f>SUMPRODUCT(--(PARCELLAIRE!H$2:H$58=UTILISATIONS!N34))</f>
        <v>1</v>
      </c>
    </row>
    <row r="35" spans="1:15">
      <c r="A35" s="105">
        <v>2013</v>
      </c>
      <c r="B35" s="105" t="str">
        <f>INDEX(PARCELLAIRE!$B$2:$B$29,MATCH(UTILISATIONS!C35,PARCELLAIRE!$D$2:$D$29,0))</f>
        <v>SORGHO</v>
      </c>
      <c r="C35" s="105" t="s">
        <v>149</v>
      </c>
      <c r="D35" s="106">
        <v>41156</v>
      </c>
      <c r="E35" s="105" t="s">
        <v>16</v>
      </c>
      <c r="F35" s="105" t="s">
        <v>69</v>
      </c>
      <c r="G35" s="105" t="str">
        <f>VLOOKUP(E35,ACHATS!$C:$D,2,0)</f>
        <v>DESHERBANT</v>
      </c>
      <c r="H35" s="105">
        <v>1</v>
      </c>
      <c r="I35" s="107">
        <f>VLOOKUP(C35,PARCELLAIRE!$D$2:$F$29,3,0)</f>
        <v>10.93</v>
      </c>
      <c r="J35" s="107">
        <f t="shared" si="0"/>
        <v>10.93</v>
      </c>
      <c r="K35" s="107">
        <f>VLOOKUP(E35,'COUT MOYEN'!$B$1:$E$71,4,0)</f>
        <v>4.9381521739130436</v>
      </c>
      <c r="L35" s="108">
        <f t="shared" si="1"/>
        <v>53.974003260869566</v>
      </c>
      <c r="M35" s="108"/>
      <c r="N35" s="63" t="str">
        <f t="shared" si="2"/>
        <v>Engleyse métairie</v>
      </c>
      <c r="O35" s="172">
        <f>SUMPRODUCT(--(PARCELLAIRE!H$2:H$58=UTILISATIONS!N35))</f>
        <v>0</v>
      </c>
    </row>
    <row r="36" spans="1:15">
      <c r="A36" s="105">
        <v>2013</v>
      </c>
      <c r="B36" s="105" t="str">
        <f>INDEX(PARCELLAIRE!$B$2:$B$29,MATCH(UTILISATIONS!C36,PARCELLAIRE!$D$2:$D$29,0))</f>
        <v xml:space="preserve">SOJA </v>
      </c>
      <c r="C36" s="105" t="s">
        <v>173</v>
      </c>
      <c r="D36" s="106">
        <v>41156</v>
      </c>
      <c r="E36" s="105" t="s">
        <v>16</v>
      </c>
      <c r="F36" s="105" t="s">
        <v>69</v>
      </c>
      <c r="G36" s="105" t="str">
        <f>VLOOKUP(E36,ACHATS!$C:$D,2,0)</f>
        <v>DESHERBANT</v>
      </c>
      <c r="H36" s="105">
        <v>1</v>
      </c>
      <c r="I36" s="107">
        <f>VLOOKUP(C36,PARCELLAIRE!$D$2:$F$29,3,0)</f>
        <v>8.58</v>
      </c>
      <c r="J36" s="107">
        <f t="shared" si="0"/>
        <v>8.58</v>
      </c>
      <c r="K36" s="107">
        <f>VLOOKUP(E36,'COUT MOYEN'!$B$1:$E$71,4,0)</f>
        <v>4.9381521739130436</v>
      </c>
      <c r="L36" s="108">
        <f t="shared" si="1"/>
        <v>42.369345652173912</v>
      </c>
      <c r="M36" s="108"/>
      <c r="N36" s="63" t="str">
        <f t="shared" si="2"/>
        <v>Engleyse Route</v>
      </c>
      <c r="O36" s="172">
        <f>SUMPRODUCT(--(PARCELLAIRE!H$2:H$58=UTILISATIONS!N36))</f>
        <v>0</v>
      </c>
    </row>
    <row r="37" spans="1:15">
      <c r="A37" s="105">
        <v>2013</v>
      </c>
      <c r="B37" s="105" t="str">
        <f>INDEX(PARCELLAIRE!$B$2:$B$29,MATCH(UTILISATIONS!C37,PARCELLAIRE!$D$2:$D$29,0))</f>
        <v xml:space="preserve">SOJA </v>
      </c>
      <c r="C37" s="105" t="s">
        <v>173</v>
      </c>
      <c r="D37" s="106">
        <v>41156</v>
      </c>
      <c r="E37" s="105" t="s">
        <v>25</v>
      </c>
      <c r="F37" s="105" t="s">
        <v>69</v>
      </c>
      <c r="G37" s="105" t="str">
        <f>VLOOKUP(E37,ACHATS!$C:$D,2,0)</f>
        <v>DIVERS</v>
      </c>
      <c r="H37" s="105">
        <v>0.2</v>
      </c>
      <c r="I37" s="107">
        <f>VLOOKUP(C37,PARCELLAIRE!$D$2:$F$29,3,0)</f>
        <v>8.58</v>
      </c>
      <c r="J37" s="107">
        <f t="shared" si="0"/>
        <v>1.7160000000000002</v>
      </c>
      <c r="K37" s="107">
        <f>VLOOKUP(E37,'COUT MOYEN'!$B$1:$E$71,4,0)</f>
        <v>11.01</v>
      </c>
      <c r="L37" s="108">
        <f t="shared" si="1"/>
        <v>18.893160000000002</v>
      </c>
      <c r="M37" s="108"/>
      <c r="N37" s="63" t="str">
        <f t="shared" si="2"/>
        <v>Engleyse Route</v>
      </c>
      <c r="O37" s="172">
        <f>SUMPRODUCT(--(PARCELLAIRE!H$2:H$58=UTILISATIONS!N37))</f>
        <v>0</v>
      </c>
    </row>
    <row r="38" spans="1:15">
      <c r="A38" s="105">
        <v>2013</v>
      </c>
      <c r="B38" s="105" t="str">
        <f>INDEX(PARCELLAIRE!$B$2:$B$29,MATCH(UTILISATIONS!C38,PARCELLAIRE!$D$2:$D$29,0))</f>
        <v>SORGHO</v>
      </c>
      <c r="C38" s="105" t="s">
        <v>149</v>
      </c>
      <c r="D38" s="106">
        <v>41156</v>
      </c>
      <c r="E38" s="105" t="s">
        <v>25</v>
      </c>
      <c r="F38" s="105" t="s">
        <v>69</v>
      </c>
      <c r="G38" s="105" t="str">
        <f>VLOOKUP(E38,ACHATS!$C:$D,2,0)</f>
        <v>DIVERS</v>
      </c>
      <c r="H38" s="105">
        <v>0.2</v>
      </c>
      <c r="I38" s="107">
        <f>VLOOKUP(C38,PARCELLAIRE!$D$2:$F$29,3,0)</f>
        <v>10.93</v>
      </c>
      <c r="J38" s="107">
        <f t="shared" si="0"/>
        <v>2.1859999999999999</v>
      </c>
      <c r="K38" s="107">
        <f>VLOOKUP(E38,'COUT MOYEN'!$B$1:$E$71,4,0)</f>
        <v>11.01</v>
      </c>
      <c r="L38" s="108">
        <f t="shared" si="1"/>
        <v>24.06786</v>
      </c>
      <c r="M38" s="108"/>
      <c r="N38" s="63" t="str">
        <f t="shared" si="2"/>
        <v>Engleyse métairie</v>
      </c>
      <c r="O38" s="172">
        <f>SUMPRODUCT(--(PARCELLAIRE!H$2:H$58=UTILISATIONS!N38))</f>
        <v>0</v>
      </c>
    </row>
    <row r="39" spans="1:15">
      <c r="A39" s="105">
        <v>2013</v>
      </c>
      <c r="B39" s="105" t="str">
        <f>INDEX(PARCELLAIRE!$B$2:$B$29,MATCH(UTILISATIONS!C39,PARCELLAIRE!$D$2:$D$29,0))</f>
        <v>BLE TENDRE</v>
      </c>
      <c r="C39" s="105" t="s">
        <v>160</v>
      </c>
      <c r="D39" s="106">
        <v>41177</v>
      </c>
      <c r="E39" s="105" t="s">
        <v>9</v>
      </c>
      <c r="F39" s="105" t="s">
        <v>68</v>
      </c>
      <c r="G39" s="105" t="str">
        <f>VLOOKUP(E39,ACHATS!$C:$D,2,0)</f>
        <v>ENGRAIS</v>
      </c>
      <c r="H39" s="105">
        <v>545</v>
      </c>
      <c r="I39" s="107">
        <f>VLOOKUP(C39,PARCELLAIRE!$D$2:$F$29,3,0)</f>
        <v>17.55</v>
      </c>
      <c r="J39" s="107">
        <f t="shared" si="0"/>
        <v>9564.75</v>
      </c>
      <c r="K39" s="107">
        <f>VLOOKUP(E39,'COUT MOYEN'!$B$1:$E$71,4,0)</f>
        <v>0.22</v>
      </c>
      <c r="L39" s="108">
        <f t="shared" si="1"/>
        <v>2104.2449999999999</v>
      </c>
      <c r="M39" s="108"/>
      <c r="N39" s="63" t="str">
        <f t="shared" si="2"/>
        <v>Labaou Plaine</v>
      </c>
      <c r="O39" s="172">
        <f>SUMPRODUCT(--(PARCELLAIRE!H$2:H$58=UTILISATIONS!N39))</f>
        <v>1</v>
      </c>
    </row>
    <row r="40" spans="1:15">
      <c r="A40" s="110">
        <v>2013</v>
      </c>
      <c r="B40" s="105" t="str">
        <f>INDEX(PARCELLAIRE!$B$2:$B$29,MATCH(UTILISATIONS!C40,PARCELLAIRE!$D$2:$D$29,0))</f>
        <v xml:space="preserve">BLE DUR </v>
      </c>
      <c r="C40" s="110" t="s">
        <v>152</v>
      </c>
      <c r="D40" s="109">
        <v>41177</v>
      </c>
      <c r="E40" s="110" t="s">
        <v>11</v>
      </c>
      <c r="F40" s="110" t="s">
        <v>69</v>
      </c>
      <c r="G40" s="105" t="str">
        <f>VLOOKUP(E40,ACHATS!$C:$D,2,0)</f>
        <v>ENGRAIS</v>
      </c>
      <c r="H40" s="110">
        <v>245</v>
      </c>
      <c r="I40" s="107">
        <f>VLOOKUP(C40,PARCELLAIRE!$D$2:$F$29,3,0)</f>
        <v>1.34</v>
      </c>
      <c r="J40" s="107">
        <f t="shared" si="0"/>
        <v>328.3</v>
      </c>
      <c r="K40" s="107">
        <f>VLOOKUP(E40,'COUT MOYEN'!$B$1:$E$71,4,0)</f>
        <v>0.50298666666666669</v>
      </c>
      <c r="L40" s="112">
        <v>924.24</v>
      </c>
      <c r="M40" s="112"/>
      <c r="N40" s="63" t="str">
        <f t="shared" si="2"/>
        <v>Escarcelou Jachère</v>
      </c>
      <c r="O40" s="172">
        <f>SUMPRODUCT(--(PARCELLAIRE!H$2:H$58=UTILISATIONS!N40))</f>
        <v>0</v>
      </c>
    </row>
    <row r="41" spans="1:15">
      <c r="A41" s="105">
        <v>2013</v>
      </c>
      <c r="B41" s="105" t="str">
        <f>INDEX(PARCELLAIRE!$B$2:$B$29,MATCH(UTILISATIONS!C41,PARCELLAIRE!$D$2:$D$29,0))</f>
        <v xml:space="preserve">BLE DUR </v>
      </c>
      <c r="C41" s="105" t="s">
        <v>144</v>
      </c>
      <c r="D41" s="106">
        <v>41179</v>
      </c>
      <c r="E41" s="105" t="s">
        <v>11</v>
      </c>
      <c r="F41" s="105" t="s">
        <v>69</v>
      </c>
      <c r="G41" s="105" t="str">
        <f>VLOOKUP(E41,ACHATS!$C:$D,2,0)</f>
        <v>ENGRAIS</v>
      </c>
      <c r="H41" s="105">
        <v>245</v>
      </c>
      <c r="I41" s="107">
        <f>VLOOKUP(C41,PARCELLAIRE!$D$2:$F$29,3,0)</f>
        <v>5.27</v>
      </c>
      <c r="J41" s="107">
        <f t="shared" si="0"/>
        <v>1291.1499999999999</v>
      </c>
      <c r="K41" s="107">
        <f>VLOOKUP(E41,'COUT MOYEN'!$B$1:$E$71,4,0)</f>
        <v>0.50298666666666669</v>
      </c>
      <c r="L41" s="108">
        <f t="shared" ref="L41:L67" si="3">K41*J41</f>
        <v>649.43123466666668</v>
      </c>
      <c r="M41" s="108"/>
      <c r="N41" s="63" t="str">
        <f t="shared" si="2"/>
        <v>Bousquet Château</v>
      </c>
      <c r="O41" s="172">
        <f>SUMPRODUCT(--(PARCELLAIRE!H$2:H$58=UTILISATIONS!N41))</f>
        <v>0</v>
      </c>
    </row>
    <row r="42" spans="1:15">
      <c r="A42" s="105">
        <v>2013</v>
      </c>
      <c r="B42" s="105" t="str">
        <f>INDEX(PARCELLAIRE!$B$2:$B$29,MATCH(UTILISATIONS!C42,PARCELLAIRE!$D$2:$D$29,0))</f>
        <v xml:space="preserve">BLE DUR </v>
      </c>
      <c r="C42" s="105" t="s">
        <v>151</v>
      </c>
      <c r="D42" s="106">
        <v>41179</v>
      </c>
      <c r="E42" s="105" t="s">
        <v>11</v>
      </c>
      <c r="F42" s="105" t="s">
        <v>69</v>
      </c>
      <c r="G42" s="105" t="str">
        <f>VLOOKUP(E42,ACHATS!$C:$D,2,0)</f>
        <v>ENGRAIS</v>
      </c>
      <c r="H42" s="105">
        <v>245</v>
      </c>
      <c r="I42" s="107">
        <f>VLOOKUP(C42,PARCELLAIRE!$D$2:$F$29,3,0)</f>
        <v>7.58</v>
      </c>
      <c r="J42" s="107">
        <f t="shared" si="0"/>
        <v>1857.1</v>
      </c>
      <c r="K42" s="107">
        <f>VLOOKUP(E42,'COUT MOYEN'!$B$1:$E$71,4,0)</f>
        <v>0.50298666666666669</v>
      </c>
      <c r="L42" s="108">
        <f t="shared" si="3"/>
        <v>934.09653866666667</v>
      </c>
      <c r="M42" s="108"/>
      <c r="N42" s="63" t="str">
        <f t="shared" si="2"/>
        <v>Escarcelou</v>
      </c>
      <c r="O42" s="172">
        <f>SUMPRODUCT(--(PARCELLAIRE!H$2:H$58=UTILISATIONS!N42))</f>
        <v>0</v>
      </c>
    </row>
    <row r="43" spans="1:15">
      <c r="A43" s="105">
        <v>2013</v>
      </c>
      <c r="B43" s="105" t="str">
        <f>INDEX(PARCELLAIRE!$B$2:$B$29,MATCH(UTILISATIONS!C43,PARCELLAIRE!$D$2:$D$29,0))</f>
        <v xml:space="preserve">BLE DUR </v>
      </c>
      <c r="C43" s="105" t="s">
        <v>176</v>
      </c>
      <c r="D43" s="106">
        <v>41179</v>
      </c>
      <c r="E43" s="105" t="s">
        <v>11</v>
      </c>
      <c r="F43" s="105" t="s">
        <v>69</v>
      </c>
      <c r="G43" s="105" t="str">
        <f>VLOOKUP(E43,ACHATS!$C:$D,2,0)</f>
        <v>ENGRAIS</v>
      </c>
      <c r="H43" s="105">
        <v>245</v>
      </c>
      <c r="I43" s="107">
        <f>VLOOKUP(C43,PARCELLAIRE!$D$2:$F$29,3,0)</f>
        <v>11.9</v>
      </c>
      <c r="J43" s="107">
        <f t="shared" si="0"/>
        <v>2915.5</v>
      </c>
      <c r="K43" s="107">
        <f>VLOOKUP(E43,'COUT MOYEN'!$B$1:$E$71,4,0)</f>
        <v>0.50298666666666669</v>
      </c>
      <c r="L43" s="108">
        <f t="shared" si="3"/>
        <v>1466.4576266666668</v>
      </c>
      <c r="M43" s="108"/>
      <c r="N43" s="63" t="str">
        <f t="shared" si="2"/>
        <v>Labaou Devant</v>
      </c>
      <c r="O43" s="172">
        <f>SUMPRODUCT(--(PARCELLAIRE!H$2:H$58=UTILISATIONS!N43))</f>
        <v>0</v>
      </c>
    </row>
    <row r="44" spans="1:15">
      <c r="A44" s="105">
        <v>2013</v>
      </c>
      <c r="B44" s="105" t="str">
        <f>INDEX(PARCELLAIRE!$B$2:$B$29,MATCH(UTILISATIONS!C44,PARCELLAIRE!$D$2:$D$29,0))</f>
        <v xml:space="preserve">BLE DUR </v>
      </c>
      <c r="C44" s="105" t="s">
        <v>153</v>
      </c>
      <c r="D44" s="106">
        <v>41179</v>
      </c>
      <c r="E44" s="105" t="s">
        <v>11</v>
      </c>
      <c r="F44" s="105" t="s">
        <v>69</v>
      </c>
      <c r="G44" s="105" t="str">
        <f>VLOOKUP(E44,ACHATS!$C:$D,2,0)</f>
        <v>ENGRAIS</v>
      </c>
      <c r="H44" s="105">
        <v>245</v>
      </c>
      <c r="I44" s="107">
        <f>VLOOKUP(C44,PARCELLAIRE!$D$2:$F$29,3,0)</f>
        <v>7.5</v>
      </c>
      <c r="J44" s="107">
        <f t="shared" si="0"/>
        <v>1837.5</v>
      </c>
      <c r="K44" s="107">
        <f>VLOOKUP(E44,'COUT MOYEN'!$B$1:$E$71,4,0)</f>
        <v>0.50298666666666669</v>
      </c>
      <c r="L44" s="108">
        <f t="shared" si="3"/>
        <v>924.23800000000006</v>
      </c>
      <c r="M44" s="108"/>
      <c r="N44" s="63" t="str">
        <f t="shared" si="2"/>
        <v>Escarcelou Pte</v>
      </c>
      <c r="O44" s="172">
        <f>SUMPRODUCT(--(PARCELLAIRE!H$2:H$58=UTILISATIONS!N44))</f>
        <v>0</v>
      </c>
    </row>
    <row r="45" spans="1:15">
      <c r="A45" s="105">
        <v>2013</v>
      </c>
      <c r="B45" s="105" t="str">
        <f>INDEX(PARCELLAIRE!$B$2:$B$29,MATCH(UTILISATIONS!C45,PARCELLAIRE!$D$2:$D$29,0))</f>
        <v xml:space="preserve">BLE DUR </v>
      </c>
      <c r="C45" s="105" t="s">
        <v>161</v>
      </c>
      <c r="D45" s="106">
        <v>41179</v>
      </c>
      <c r="E45" s="105" t="s">
        <v>11</v>
      </c>
      <c r="F45" s="105" t="s">
        <v>69</v>
      </c>
      <c r="G45" s="105" t="str">
        <f>VLOOKUP(E45,ACHATS!$C:$D,2,0)</f>
        <v>ENGRAIS</v>
      </c>
      <c r="H45" s="105">
        <v>245</v>
      </c>
      <c r="I45" s="107">
        <f>VLOOKUP(C45,PARCELLAIRE!$D$2:$F$29,3,0)</f>
        <v>5.07</v>
      </c>
      <c r="J45" s="107">
        <f t="shared" si="0"/>
        <v>1242.1500000000001</v>
      </c>
      <c r="K45" s="107">
        <f>VLOOKUP(E45,'COUT MOYEN'!$B$1:$E$71,4,0)</f>
        <v>0.50298666666666669</v>
      </c>
      <c r="L45" s="108">
        <f t="shared" si="3"/>
        <v>624.78488800000002</v>
      </c>
      <c r="M45" s="108"/>
      <c r="N45" s="63" t="str">
        <f t="shared" si="2"/>
        <v>Laclos</v>
      </c>
      <c r="O45" s="172">
        <f>SUMPRODUCT(--(PARCELLAIRE!H$2:H$58=UTILISATIONS!N45))</f>
        <v>0</v>
      </c>
    </row>
    <row r="46" spans="1:15">
      <c r="A46" s="105">
        <v>2013</v>
      </c>
      <c r="B46" s="105" t="str">
        <f>INDEX(PARCELLAIRE!$B$2:$B$29,MATCH(UTILISATIONS!C46,PARCELLAIRE!$D$2:$D$29,0))</f>
        <v xml:space="preserve">BLE DUR </v>
      </c>
      <c r="C46" s="105" t="s">
        <v>162</v>
      </c>
      <c r="D46" s="106">
        <v>41179</v>
      </c>
      <c r="E46" s="105" t="s">
        <v>11</v>
      </c>
      <c r="F46" s="105" t="s">
        <v>69</v>
      </c>
      <c r="G46" s="105" t="str">
        <f>VLOOKUP(E46,ACHATS!$C:$D,2,0)</f>
        <v>ENGRAIS</v>
      </c>
      <c r="H46" s="105">
        <v>245</v>
      </c>
      <c r="I46" s="107">
        <f>VLOOKUP(C46,PARCELLAIRE!$D$2:$F$29,3,0)</f>
        <v>2.67</v>
      </c>
      <c r="J46" s="107">
        <f t="shared" si="0"/>
        <v>654.15</v>
      </c>
      <c r="K46" s="107">
        <f>VLOOKUP(E46,'COUT MOYEN'!$B$1:$E$71,4,0)</f>
        <v>0.50298666666666669</v>
      </c>
      <c r="L46" s="108">
        <f t="shared" si="3"/>
        <v>329.028728</v>
      </c>
      <c r="M46" s="108"/>
      <c r="N46" s="63" t="str">
        <f t="shared" si="2"/>
        <v>Lescandes</v>
      </c>
      <c r="O46" s="172">
        <f>SUMPRODUCT(--(PARCELLAIRE!H$2:H$58=UTILISATIONS!N46))</f>
        <v>0</v>
      </c>
    </row>
    <row r="47" spans="1:15">
      <c r="A47" s="105">
        <v>2013</v>
      </c>
      <c r="B47" s="105" t="str">
        <f>INDEX(PARCELLAIRE!$B$2:$B$29,MATCH(UTILISATIONS!C47,PARCELLAIRE!$D$2:$D$29,0))</f>
        <v xml:space="preserve">BLE DUR </v>
      </c>
      <c r="C47" s="105" t="s">
        <v>172</v>
      </c>
      <c r="D47" s="106">
        <v>41179</v>
      </c>
      <c r="E47" s="105" t="s">
        <v>11</v>
      </c>
      <c r="F47" s="105" t="s">
        <v>69</v>
      </c>
      <c r="G47" s="105" t="str">
        <f>VLOOKUP(E47,ACHATS!$C:$D,2,0)</f>
        <v>ENGRAIS</v>
      </c>
      <c r="H47" s="105">
        <v>245</v>
      </c>
      <c r="I47" s="107">
        <f>VLOOKUP(C47,PARCELLAIRE!$D$2:$F$29,3,0)</f>
        <v>16.440000000000001</v>
      </c>
      <c r="J47" s="107">
        <f t="shared" si="0"/>
        <v>4027.8</v>
      </c>
      <c r="K47" s="107">
        <f>VLOOKUP(E47,'COUT MOYEN'!$B$1:$E$71,4,0)</f>
        <v>0.50298666666666669</v>
      </c>
      <c r="L47" s="108">
        <f t="shared" si="3"/>
        <v>2025.9296960000001</v>
      </c>
      <c r="M47" s="108"/>
      <c r="N47" s="63" t="str">
        <f t="shared" si="2"/>
        <v>Lescandes Côteau</v>
      </c>
      <c r="O47" s="172">
        <f>SUMPRODUCT(--(PARCELLAIRE!H$2:H$58=UTILISATIONS!N47))</f>
        <v>0</v>
      </c>
    </row>
    <row r="48" spans="1:15">
      <c r="A48" s="105">
        <v>2013</v>
      </c>
      <c r="B48" s="105" t="str">
        <f>INDEX(PARCELLAIRE!$B$2:$B$29,MATCH(UTILISATIONS!C48,PARCELLAIRE!$D$2:$D$29,0))</f>
        <v xml:space="preserve">BLE DUR </v>
      </c>
      <c r="C48" s="105" t="s">
        <v>170</v>
      </c>
      <c r="D48" s="106">
        <v>41179</v>
      </c>
      <c r="E48" s="105" t="s">
        <v>11</v>
      </c>
      <c r="F48" s="105" t="s">
        <v>69</v>
      </c>
      <c r="G48" s="105" t="str">
        <f>VLOOKUP(E48,ACHATS!$C:$D,2,0)</f>
        <v>ENGRAIS</v>
      </c>
      <c r="H48" s="105">
        <v>245</v>
      </c>
      <c r="I48" s="107">
        <f>VLOOKUP(C48,PARCELLAIRE!$D$2:$F$29,3,0)</f>
        <v>1.26</v>
      </c>
      <c r="J48" s="107">
        <f t="shared" si="0"/>
        <v>308.7</v>
      </c>
      <c r="K48" s="107">
        <f>VLOOKUP(E48,'COUT MOYEN'!$B$1:$E$71,4,0)</f>
        <v>0.50298666666666669</v>
      </c>
      <c r="L48" s="108">
        <f t="shared" si="3"/>
        <v>155.271984</v>
      </c>
      <c r="M48" s="108"/>
      <c r="N48" s="63" t="str">
        <f t="shared" si="2"/>
        <v>Seillonne</v>
      </c>
      <c r="O48" s="172">
        <f>SUMPRODUCT(--(PARCELLAIRE!H$2:H$58=UTILISATIONS!N48))</f>
        <v>0</v>
      </c>
    </row>
    <row r="49" spans="1:15">
      <c r="A49" s="105">
        <v>2013</v>
      </c>
      <c r="B49" s="105" t="str">
        <f>INDEX(PARCELLAIRE!$B$2:$B$29,MATCH(UTILISATIONS!C49,PARCELLAIRE!$D$2:$D$29,0))</f>
        <v xml:space="preserve">SOJA </v>
      </c>
      <c r="C49" s="105" t="s">
        <v>173</v>
      </c>
      <c r="D49" s="106">
        <v>41179</v>
      </c>
      <c r="E49" s="105" t="s">
        <v>11</v>
      </c>
      <c r="F49" s="105" t="s">
        <v>69</v>
      </c>
      <c r="G49" s="105" t="str">
        <f>VLOOKUP(E49,ACHATS!$C:$D,2,0)</f>
        <v>ENGRAIS</v>
      </c>
      <c r="H49" s="105">
        <v>230</v>
      </c>
      <c r="I49" s="107">
        <f>VLOOKUP(C49,PARCELLAIRE!$D$2:$F$29,3,0)</f>
        <v>8.58</v>
      </c>
      <c r="J49" s="107">
        <f t="shared" si="0"/>
        <v>1973.4</v>
      </c>
      <c r="K49" s="107">
        <f>VLOOKUP(E49,'COUT MOYEN'!$B$1:$E$71,4,0)</f>
        <v>0.50298666666666669</v>
      </c>
      <c r="L49" s="108">
        <f t="shared" si="3"/>
        <v>992.59388800000011</v>
      </c>
      <c r="M49" s="108"/>
      <c r="N49" s="63" t="str">
        <f t="shared" si="2"/>
        <v>Engleyse Route</v>
      </c>
      <c r="O49" s="172">
        <f>SUMPRODUCT(--(PARCELLAIRE!H$2:H$58=UTILISATIONS!N49))</f>
        <v>0</v>
      </c>
    </row>
    <row r="50" spans="1:15">
      <c r="A50" s="105">
        <v>2013</v>
      </c>
      <c r="B50" s="105" t="str">
        <f>INDEX(PARCELLAIRE!$B$2:$B$29,MATCH(UTILISATIONS!C50,PARCELLAIRE!$D$2:$D$29,0))</f>
        <v>SORGHO</v>
      </c>
      <c r="C50" s="105" t="s">
        <v>149</v>
      </c>
      <c r="D50" s="106">
        <v>41179</v>
      </c>
      <c r="E50" s="105" t="s">
        <v>11</v>
      </c>
      <c r="F50" s="105" t="s">
        <v>69</v>
      </c>
      <c r="G50" s="105" t="str">
        <f>VLOOKUP(E50,ACHATS!$C:$D,2,0)</f>
        <v>ENGRAIS</v>
      </c>
      <c r="H50" s="105">
        <v>230</v>
      </c>
      <c r="I50" s="107">
        <f>VLOOKUP(C50,PARCELLAIRE!$D$2:$F$29,3,0)</f>
        <v>10.93</v>
      </c>
      <c r="J50" s="107">
        <f t="shared" si="0"/>
        <v>2513.9</v>
      </c>
      <c r="K50" s="107">
        <f>VLOOKUP(E50,'COUT MOYEN'!$B$1:$E$71,4,0)</f>
        <v>0.50298666666666669</v>
      </c>
      <c r="L50" s="108">
        <f t="shared" si="3"/>
        <v>1264.4581813333334</v>
      </c>
      <c r="M50" s="108"/>
      <c r="N50" s="63" t="str">
        <f t="shared" si="2"/>
        <v>Engleyse métairie</v>
      </c>
      <c r="O50" s="172">
        <f>SUMPRODUCT(--(PARCELLAIRE!H$2:H$58=UTILISATIONS!N50))</f>
        <v>0</v>
      </c>
    </row>
    <row r="51" spans="1:15">
      <c r="A51" s="105">
        <v>2013</v>
      </c>
      <c r="B51" s="105" t="str">
        <f>INDEX(PARCELLAIRE!$B$2:$B$29,MATCH(UTILISATIONS!C51,PARCELLAIRE!$D$2:$D$29,0))</f>
        <v xml:space="preserve">BLE DUR </v>
      </c>
      <c r="C51" s="105" t="s">
        <v>170</v>
      </c>
      <c r="D51" s="106">
        <v>41205</v>
      </c>
      <c r="E51" s="105" t="s">
        <v>16</v>
      </c>
      <c r="F51" s="105" t="s">
        <v>69</v>
      </c>
      <c r="G51" s="105" t="str">
        <f>VLOOKUP(E51,ACHATS!$C:$D,2,0)</f>
        <v>DESHERBANT</v>
      </c>
      <c r="H51" s="105">
        <v>1</v>
      </c>
      <c r="I51" s="107">
        <f>VLOOKUP(C51,PARCELLAIRE!$D$2:$F$29,3,0)</f>
        <v>1.26</v>
      </c>
      <c r="J51" s="107">
        <f t="shared" si="0"/>
        <v>1.26</v>
      </c>
      <c r="K51" s="107">
        <f>VLOOKUP(E51,'COUT MOYEN'!$B$1:$E$71,4,0)</f>
        <v>4.9381521739130436</v>
      </c>
      <c r="L51" s="108">
        <f t="shared" si="3"/>
        <v>6.2220717391304348</v>
      </c>
      <c r="M51" s="108"/>
      <c r="N51" s="63" t="str">
        <f t="shared" si="2"/>
        <v>Seillonne</v>
      </c>
      <c r="O51" s="172">
        <f>SUMPRODUCT(--(PARCELLAIRE!H$2:H$58=UTILISATIONS!N51))</f>
        <v>0</v>
      </c>
    </row>
    <row r="52" spans="1:15">
      <c r="A52" s="105">
        <v>2013</v>
      </c>
      <c r="B52" s="105" t="str">
        <f>INDEX(PARCELLAIRE!$B$2:$B$29,MATCH(UTILISATIONS!C52,PARCELLAIRE!$D$2:$D$29,0))</f>
        <v xml:space="preserve">BLE DUR </v>
      </c>
      <c r="C52" s="105" t="s">
        <v>147</v>
      </c>
      <c r="D52" s="106">
        <v>41205</v>
      </c>
      <c r="E52" s="105" t="s">
        <v>16</v>
      </c>
      <c r="F52" s="105" t="s">
        <v>69</v>
      </c>
      <c r="G52" s="105" t="str">
        <f>VLOOKUP(E52,ACHATS!$C:$D,2,0)</f>
        <v>DESHERBANT</v>
      </c>
      <c r="H52" s="105">
        <v>1</v>
      </c>
      <c r="I52" s="107">
        <f>VLOOKUP(C52,PARCELLAIRE!$D$2:$F$29,3,0)</f>
        <v>5.67</v>
      </c>
      <c r="J52" s="107">
        <f t="shared" si="0"/>
        <v>5.67</v>
      </c>
      <c r="K52" s="107">
        <f>VLOOKUP(E52,'COUT MOYEN'!$B$1:$E$71,4,0)</f>
        <v>4.9381521739130436</v>
      </c>
      <c r="L52" s="108">
        <f t="shared" si="3"/>
        <v>27.999322826086956</v>
      </c>
      <c r="M52" s="108"/>
      <c r="N52" s="63" t="str">
        <f t="shared" si="2"/>
        <v>Bousquet Route</v>
      </c>
      <c r="O52" s="172">
        <f>SUMPRODUCT(--(PARCELLAIRE!H$2:H$58=UTILISATIONS!N52))</f>
        <v>0</v>
      </c>
    </row>
    <row r="53" spans="1:15">
      <c r="A53" s="105">
        <v>2013</v>
      </c>
      <c r="B53" s="105" t="str">
        <f>INDEX(PARCELLAIRE!$B$2:$B$29,MATCH(UTILISATIONS!C53,PARCELLAIRE!$D$2:$D$29,0))</f>
        <v xml:space="preserve">BLE DUR </v>
      </c>
      <c r="C53" s="105" t="s">
        <v>144</v>
      </c>
      <c r="D53" s="106">
        <v>41205</v>
      </c>
      <c r="E53" s="105" t="s">
        <v>16</v>
      </c>
      <c r="F53" s="105" t="s">
        <v>69</v>
      </c>
      <c r="G53" s="105" t="str">
        <f>VLOOKUP(E53,ACHATS!$C:$D,2,0)</f>
        <v>DESHERBANT</v>
      </c>
      <c r="H53" s="105">
        <v>1</v>
      </c>
      <c r="I53" s="107">
        <f>VLOOKUP(C53,PARCELLAIRE!$D$2:$F$29,3,0)</f>
        <v>5.27</v>
      </c>
      <c r="J53" s="107">
        <f t="shared" si="0"/>
        <v>5.27</v>
      </c>
      <c r="K53" s="107">
        <f>VLOOKUP(E53,'COUT MOYEN'!$B$1:$E$71,4,0)</f>
        <v>4.9381521739130436</v>
      </c>
      <c r="L53" s="108">
        <f t="shared" si="3"/>
        <v>26.024061956521738</v>
      </c>
      <c r="M53" s="108"/>
      <c r="N53" s="63" t="str">
        <f t="shared" si="2"/>
        <v>Bousquet Château</v>
      </c>
      <c r="O53" s="172">
        <f>SUMPRODUCT(--(PARCELLAIRE!H$2:H$58=UTILISATIONS!N53))</f>
        <v>0</v>
      </c>
    </row>
    <row r="54" spans="1:15">
      <c r="A54" s="105">
        <v>2013</v>
      </c>
      <c r="B54" s="105" t="str">
        <f>INDEX(PARCELLAIRE!$B$2:$B$29,MATCH(UTILISATIONS!C54,PARCELLAIRE!$D$2:$D$29,0))</f>
        <v>BLE TENDRE</v>
      </c>
      <c r="C54" s="105" t="s">
        <v>160</v>
      </c>
      <c r="D54" s="106">
        <v>41205</v>
      </c>
      <c r="E54" s="105" t="s">
        <v>16</v>
      </c>
      <c r="F54" s="105" t="s">
        <v>69</v>
      </c>
      <c r="G54" s="105" t="str">
        <f>VLOOKUP(E54,ACHATS!$C:$D,2,0)</f>
        <v>DESHERBANT</v>
      </c>
      <c r="H54" s="105">
        <v>1</v>
      </c>
      <c r="I54" s="107">
        <f>VLOOKUP(C54,PARCELLAIRE!$D$2:$F$29,3,0)</f>
        <v>17.55</v>
      </c>
      <c r="J54" s="107">
        <f t="shared" si="0"/>
        <v>17.55</v>
      </c>
      <c r="K54" s="107">
        <f>VLOOKUP(E54,'COUT MOYEN'!$B$1:$E$71,4,0)</f>
        <v>4.9381521739130436</v>
      </c>
      <c r="L54" s="108">
        <f t="shared" si="3"/>
        <v>86.664570652173921</v>
      </c>
      <c r="M54" s="108"/>
      <c r="N54" s="63" t="str">
        <f t="shared" si="2"/>
        <v>Labaou Plaine</v>
      </c>
      <c r="O54" s="172">
        <f>SUMPRODUCT(--(PARCELLAIRE!H$2:H$58=UTILISATIONS!N54))</f>
        <v>1</v>
      </c>
    </row>
    <row r="55" spans="1:15">
      <c r="A55" s="105">
        <v>2013</v>
      </c>
      <c r="B55" s="105" t="str">
        <f>INDEX(PARCELLAIRE!$B$2:$B$29,MATCH(UTILISATIONS!C55,PARCELLAIRE!$D$2:$D$29,0))</f>
        <v>BLE TENDRE</v>
      </c>
      <c r="C55" s="105" t="s">
        <v>160</v>
      </c>
      <c r="D55" s="106">
        <v>41205</v>
      </c>
      <c r="E55" s="105" t="s">
        <v>25</v>
      </c>
      <c r="F55" s="105" t="s">
        <v>69</v>
      </c>
      <c r="G55" s="105" t="str">
        <f>VLOOKUP(E55,ACHATS!$C:$D,2,0)</f>
        <v>DIVERS</v>
      </c>
      <c r="H55" s="105">
        <v>0.2</v>
      </c>
      <c r="I55" s="107">
        <f>VLOOKUP(C55,PARCELLAIRE!$D$2:$F$29,3,0)</f>
        <v>17.55</v>
      </c>
      <c r="J55" s="107">
        <f t="shared" si="0"/>
        <v>3.5100000000000002</v>
      </c>
      <c r="K55" s="107">
        <f>VLOOKUP(E55,'COUT MOYEN'!$B$1:$E$71,4,0)</f>
        <v>11.01</v>
      </c>
      <c r="L55" s="108">
        <f t="shared" si="3"/>
        <v>38.645099999999999</v>
      </c>
      <c r="M55" s="108"/>
      <c r="N55" s="63" t="str">
        <f t="shared" si="2"/>
        <v>Labaou Plaine</v>
      </c>
      <c r="O55" s="172">
        <f>SUMPRODUCT(--(PARCELLAIRE!H$2:H$58=UTILISATIONS!N55))</f>
        <v>1</v>
      </c>
    </row>
    <row r="56" spans="1:15">
      <c r="A56" s="105">
        <v>2013</v>
      </c>
      <c r="B56" s="105" t="str">
        <f>INDEX(PARCELLAIRE!$B$2:$B$29,MATCH(UTILISATIONS!C56,PARCELLAIRE!$D$2:$D$29,0))</f>
        <v xml:space="preserve">BLE DUR </v>
      </c>
      <c r="C56" s="105" t="s">
        <v>144</v>
      </c>
      <c r="D56" s="106">
        <v>41205</v>
      </c>
      <c r="E56" s="105" t="s">
        <v>25</v>
      </c>
      <c r="F56" s="105" t="s">
        <v>69</v>
      </c>
      <c r="G56" s="105" t="str">
        <f>VLOOKUP(E56,ACHATS!$C:$D,2,0)</f>
        <v>DIVERS</v>
      </c>
      <c r="H56" s="105">
        <v>0.2</v>
      </c>
      <c r="I56" s="107">
        <f>VLOOKUP(C56,PARCELLAIRE!$D$2:$F$29,3,0)</f>
        <v>5.27</v>
      </c>
      <c r="J56" s="107">
        <f t="shared" si="0"/>
        <v>1.054</v>
      </c>
      <c r="K56" s="107">
        <f>VLOOKUP(E56,'COUT MOYEN'!$B$1:$E$71,4,0)</f>
        <v>11.01</v>
      </c>
      <c r="L56" s="108">
        <f t="shared" si="3"/>
        <v>11.60454</v>
      </c>
      <c r="M56" s="108"/>
      <c r="N56" s="63" t="str">
        <f t="shared" si="2"/>
        <v>Bousquet Château</v>
      </c>
      <c r="O56" s="172">
        <f>SUMPRODUCT(--(PARCELLAIRE!H$2:H$58=UTILISATIONS!N56))</f>
        <v>0</v>
      </c>
    </row>
    <row r="57" spans="1:15">
      <c r="A57" s="105">
        <v>2013</v>
      </c>
      <c r="B57" s="105" t="str">
        <f>INDEX(PARCELLAIRE!$B$2:$B$29,MATCH(UTILISATIONS!C57,PARCELLAIRE!$D$2:$D$29,0))</f>
        <v xml:space="preserve">BLE DUR </v>
      </c>
      <c r="C57" s="105" t="s">
        <v>147</v>
      </c>
      <c r="D57" s="106">
        <v>41205</v>
      </c>
      <c r="E57" s="105" t="s">
        <v>25</v>
      </c>
      <c r="F57" s="105" t="s">
        <v>69</v>
      </c>
      <c r="G57" s="105" t="str">
        <f>VLOOKUP(E57,ACHATS!$C:$D,2,0)</f>
        <v>DIVERS</v>
      </c>
      <c r="H57" s="105">
        <v>0.2</v>
      </c>
      <c r="I57" s="107">
        <f>VLOOKUP(C57,PARCELLAIRE!$D$2:$F$29,3,0)</f>
        <v>5.67</v>
      </c>
      <c r="J57" s="107">
        <f t="shared" si="0"/>
        <v>1.1340000000000001</v>
      </c>
      <c r="K57" s="107">
        <f>VLOOKUP(E57,'COUT MOYEN'!$B$1:$E$71,4,0)</f>
        <v>11.01</v>
      </c>
      <c r="L57" s="108">
        <f t="shared" si="3"/>
        <v>12.485340000000001</v>
      </c>
      <c r="M57" s="108"/>
      <c r="N57" s="63" t="str">
        <f t="shared" si="2"/>
        <v>Bousquet Route</v>
      </c>
      <c r="O57" s="172">
        <f>SUMPRODUCT(--(PARCELLAIRE!H$2:H$58=UTILISATIONS!N57))</f>
        <v>0</v>
      </c>
    </row>
    <row r="58" spans="1:15">
      <c r="A58" s="105">
        <v>2013</v>
      </c>
      <c r="B58" s="105" t="str">
        <f>INDEX(PARCELLAIRE!$B$2:$B$29,MATCH(UTILISATIONS!C58,PARCELLAIRE!$D$2:$D$29,0))</f>
        <v xml:space="preserve">BLE DUR </v>
      </c>
      <c r="C58" s="105" t="s">
        <v>170</v>
      </c>
      <c r="D58" s="106">
        <v>41205</v>
      </c>
      <c r="E58" s="105" t="s">
        <v>25</v>
      </c>
      <c r="F58" s="105" t="s">
        <v>69</v>
      </c>
      <c r="G58" s="105" t="str">
        <f>VLOOKUP(E58,ACHATS!$C:$D,2,0)</f>
        <v>DIVERS</v>
      </c>
      <c r="H58" s="105">
        <v>0.2</v>
      </c>
      <c r="I58" s="107">
        <f>VLOOKUP(C58,PARCELLAIRE!$D$2:$F$29,3,0)</f>
        <v>1.26</v>
      </c>
      <c r="J58" s="107">
        <f t="shared" si="0"/>
        <v>0.252</v>
      </c>
      <c r="K58" s="107">
        <f>VLOOKUP(E58,'COUT MOYEN'!$B$1:$E$71,4,0)</f>
        <v>11.01</v>
      </c>
      <c r="L58" s="108">
        <f t="shared" si="3"/>
        <v>2.7745199999999999</v>
      </c>
      <c r="M58" s="108"/>
      <c r="N58" s="63" t="str">
        <f t="shared" si="2"/>
        <v>Seillonne</v>
      </c>
      <c r="O58" s="172">
        <f>SUMPRODUCT(--(PARCELLAIRE!H$2:H$58=UTILISATIONS!N58))</f>
        <v>0</v>
      </c>
    </row>
    <row r="59" spans="1:15">
      <c r="A59" s="105">
        <v>2013</v>
      </c>
      <c r="B59" s="105" t="str">
        <f>INDEX(PARCELLAIRE!$B$2:$B$29,MATCH(UTILISATIONS!C59,PARCELLAIRE!$D$2:$D$29,0))</f>
        <v>BLE TENDRE</v>
      </c>
      <c r="C59" s="105" t="s">
        <v>160</v>
      </c>
      <c r="D59" s="106">
        <v>41206</v>
      </c>
      <c r="E59" s="105" t="s">
        <v>38</v>
      </c>
      <c r="F59" s="105" t="s">
        <v>68</v>
      </c>
      <c r="G59" s="105" t="str">
        <f>VLOOKUP(E59,ACHATS!$C:$D,2,0)</f>
        <v>SEMENCES</v>
      </c>
      <c r="H59" s="107">
        <v>153</v>
      </c>
      <c r="I59" s="107">
        <f>VLOOKUP(C59,PARCELLAIRE!$D$2:$F$29,3,0)</f>
        <v>17.55</v>
      </c>
      <c r="J59" s="107">
        <f t="shared" si="0"/>
        <v>2685.15</v>
      </c>
      <c r="K59" s="107">
        <f>VLOOKUP(E59,'COUT MOYEN'!$B$1:$E$71,4,0)</f>
        <v>0.71961111111111109</v>
      </c>
      <c r="L59" s="108">
        <f t="shared" si="3"/>
        <v>1932.2637749999999</v>
      </c>
      <c r="M59" s="108"/>
      <c r="N59" s="63" t="str">
        <f t="shared" si="2"/>
        <v>Labaou Plaine</v>
      </c>
      <c r="O59" s="172">
        <f>SUMPRODUCT(--(PARCELLAIRE!H$2:H$58=UTILISATIONS!N59))</f>
        <v>1</v>
      </c>
    </row>
    <row r="60" spans="1:15">
      <c r="A60" s="105">
        <v>2013</v>
      </c>
      <c r="B60" s="105" t="str">
        <f>INDEX(PARCELLAIRE!$B$2:$B$29,MATCH(UTILISATIONS!C60,PARCELLAIRE!$D$2:$D$29,0))</f>
        <v xml:space="preserve">BLE DUR </v>
      </c>
      <c r="C60" s="105" t="s">
        <v>144</v>
      </c>
      <c r="D60" s="106">
        <v>41207</v>
      </c>
      <c r="E60" s="105" t="s">
        <v>43</v>
      </c>
      <c r="F60" s="105" t="s">
        <v>69</v>
      </c>
      <c r="G60" s="105" t="str">
        <f>VLOOKUP(E60,ACHATS!$C:$D,2,0)</f>
        <v>SEMENCES</v>
      </c>
      <c r="H60" s="105">
        <v>168</v>
      </c>
      <c r="I60" s="107">
        <f>VLOOKUP(C60,PARCELLAIRE!$D$2:$F$29,3,0)</f>
        <v>5.27</v>
      </c>
      <c r="J60" s="107">
        <f t="shared" si="0"/>
        <v>885.3599999999999</v>
      </c>
      <c r="K60" s="107">
        <f>VLOOKUP(E60,'COUT MOYEN'!$B$1:$E$71,4,0)</f>
        <v>0.26000473596968982</v>
      </c>
      <c r="L60" s="108">
        <f t="shared" si="3"/>
        <v>230.19779303812456</v>
      </c>
      <c r="M60" s="108"/>
      <c r="N60" s="63" t="str">
        <f t="shared" si="2"/>
        <v>Bousquet Château</v>
      </c>
      <c r="O60" s="172">
        <f>SUMPRODUCT(--(PARCELLAIRE!H$2:H$58=UTILISATIONS!N60))</f>
        <v>0</v>
      </c>
    </row>
    <row r="61" spans="1:15">
      <c r="A61" s="105">
        <v>2013</v>
      </c>
      <c r="B61" s="105" t="str">
        <f>INDEX(PARCELLAIRE!$B$2:$B$29,MATCH(UTILISATIONS!C61,PARCELLAIRE!$D$2:$D$29,0))</f>
        <v xml:space="preserve">BLE DUR </v>
      </c>
      <c r="C61" s="105" t="s">
        <v>170</v>
      </c>
      <c r="D61" s="106">
        <v>41207</v>
      </c>
      <c r="E61" s="105" t="s">
        <v>43</v>
      </c>
      <c r="F61" s="105" t="s">
        <v>69</v>
      </c>
      <c r="G61" s="105" t="str">
        <f>VLOOKUP(E61,ACHATS!$C:$D,2,0)</f>
        <v>SEMENCES</v>
      </c>
      <c r="H61" s="105">
        <v>168</v>
      </c>
      <c r="I61" s="107">
        <f>VLOOKUP(C61,PARCELLAIRE!$D$2:$F$29,3,0)</f>
        <v>1.26</v>
      </c>
      <c r="J61" s="107">
        <f t="shared" si="0"/>
        <v>211.68</v>
      </c>
      <c r="K61" s="107">
        <f>VLOOKUP(E61,'COUT MOYEN'!$B$1:$E$71,4,0)</f>
        <v>0.26000473596968982</v>
      </c>
      <c r="L61" s="108">
        <f t="shared" si="3"/>
        <v>55.037802510063941</v>
      </c>
      <c r="M61" s="108"/>
      <c r="N61" s="63" t="str">
        <f t="shared" si="2"/>
        <v>Seillonne</v>
      </c>
      <c r="O61" s="172">
        <f>SUMPRODUCT(--(PARCELLAIRE!H$2:H$58=UTILISATIONS!N61))</f>
        <v>0</v>
      </c>
    </row>
    <row r="62" spans="1:15">
      <c r="A62" s="105">
        <v>2013</v>
      </c>
      <c r="B62" s="105" t="str">
        <f>INDEX(PARCELLAIRE!$B$2:$B$29,MATCH(UTILISATIONS!C62,PARCELLAIRE!$D$2:$D$29,0))</f>
        <v xml:space="preserve">BLE DUR </v>
      </c>
      <c r="C62" s="105" t="s">
        <v>147</v>
      </c>
      <c r="D62" s="106">
        <v>41207</v>
      </c>
      <c r="E62" s="105" t="s">
        <v>44</v>
      </c>
      <c r="F62" s="105" t="s">
        <v>68</v>
      </c>
      <c r="G62" s="105" t="str">
        <f>VLOOKUP(E62,ACHATS!$C:$D,2,0)</f>
        <v>SEMENCES</v>
      </c>
      <c r="H62" s="105">
        <v>168</v>
      </c>
      <c r="I62" s="107">
        <f>VLOOKUP(C62,PARCELLAIRE!$D$2:$F$29,3,0)</f>
        <v>5.67</v>
      </c>
      <c r="J62" s="107">
        <f t="shared" si="0"/>
        <v>952.56</v>
      </c>
      <c r="K62" s="107">
        <f>VLOOKUP(E62,'COUT MOYEN'!$B$1:$E$71,4,0)</f>
        <v>0.25980392156862747</v>
      </c>
      <c r="L62" s="108">
        <f t="shared" si="3"/>
        <v>247.47882352941178</v>
      </c>
      <c r="M62" s="108"/>
      <c r="N62" s="63" t="str">
        <f t="shared" si="2"/>
        <v>Bousquet Route</v>
      </c>
      <c r="O62" s="172">
        <f>SUMPRODUCT(--(PARCELLAIRE!H$2:H$58=UTILISATIONS!N62))</f>
        <v>0</v>
      </c>
    </row>
    <row r="63" spans="1:15">
      <c r="A63" s="105">
        <v>2013</v>
      </c>
      <c r="B63" s="105" t="str">
        <f>INDEX(PARCELLAIRE!$B$2:$B$29,MATCH(UTILISATIONS!C63,PARCELLAIRE!$D$2:$D$29,0))</f>
        <v xml:space="preserve">BLE DUR </v>
      </c>
      <c r="C63" s="105" t="s">
        <v>176</v>
      </c>
      <c r="D63" s="106">
        <v>41207</v>
      </c>
      <c r="E63" s="105" t="s">
        <v>44</v>
      </c>
      <c r="F63" s="105" t="s">
        <v>68</v>
      </c>
      <c r="G63" s="105" t="str">
        <f>VLOOKUP(E63,ACHATS!$C:$D,2,0)</f>
        <v>SEMENCES</v>
      </c>
      <c r="H63" s="105">
        <v>165</v>
      </c>
      <c r="I63" s="107">
        <f>VLOOKUP(C63,PARCELLAIRE!$D$2:$F$29,3,0)</f>
        <v>11.9</v>
      </c>
      <c r="J63" s="107">
        <f t="shared" si="0"/>
        <v>1963.5</v>
      </c>
      <c r="K63" s="107">
        <f>VLOOKUP(E63,'COUT MOYEN'!$B$1:$E$71,4,0)</f>
        <v>0.25980392156862747</v>
      </c>
      <c r="L63" s="108">
        <f t="shared" si="3"/>
        <v>510.12500000000006</v>
      </c>
      <c r="M63" s="108"/>
      <c r="N63" s="63" t="str">
        <f t="shared" si="2"/>
        <v>Labaou Devant</v>
      </c>
      <c r="O63" s="172">
        <f>SUMPRODUCT(--(PARCELLAIRE!H$2:H$58=UTILISATIONS!N63))</f>
        <v>0</v>
      </c>
    </row>
    <row r="64" spans="1:15">
      <c r="A64" s="105">
        <v>2013</v>
      </c>
      <c r="B64" s="105" t="str">
        <f>INDEX(PARCELLAIRE!$B$2:$B$29,MATCH(UTILISATIONS!C64,PARCELLAIRE!$D$2:$D$29,0))</f>
        <v xml:space="preserve">BLE DUR </v>
      </c>
      <c r="C64" s="105" t="s">
        <v>153</v>
      </c>
      <c r="D64" s="106">
        <v>41207</v>
      </c>
      <c r="E64" s="105" t="s">
        <v>44</v>
      </c>
      <c r="F64" s="105" t="s">
        <v>68</v>
      </c>
      <c r="G64" s="105" t="str">
        <f>VLOOKUP(E64,ACHATS!$C:$D,2,0)</f>
        <v>SEMENCES</v>
      </c>
      <c r="H64" s="105">
        <v>165</v>
      </c>
      <c r="I64" s="107">
        <f>VLOOKUP(C64,PARCELLAIRE!$D$2:$F$29,3,0)</f>
        <v>7.5</v>
      </c>
      <c r="J64" s="107">
        <f t="shared" si="0"/>
        <v>1237.5</v>
      </c>
      <c r="K64" s="107">
        <f>VLOOKUP(E64,'COUT MOYEN'!$B$1:$E$71,4,0)</f>
        <v>0.25980392156862747</v>
      </c>
      <c r="L64" s="108">
        <f t="shared" si="3"/>
        <v>321.50735294117652</v>
      </c>
      <c r="M64" s="108"/>
      <c r="N64" s="63" t="str">
        <f t="shared" si="2"/>
        <v>Escarcelou Pte</v>
      </c>
      <c r="O64" s="172">
        <f>SUMPRODUCT(--(PARCELLAIRE!H$2:H$58=UTILISATIONS!N64))</f>
        <v>0</v>
      </c>
    </row>
    <row r="65" spans="1:15">
      <c r="A65" s="105">
        <v>2013</v>
      </c>
      <c r="B65" s="105" t="str">
        <f>INDEX(PARCELLAIRE!$B$2:$B$29,MATCH(UTILISATIONS!C65,PARCELLAIRE!$D$2:$D$29,0))</f>
        <v xml:space="preserve">BLE DUR </v>
      </c>
      <c r="C65" s="105" t="s">
        <v>151</v>
      </c>
      <c r="D65" s="106">
        <v>41207</v>
      </c>
      <c r="E65" s="105" t="s">
        <v>44</v>
      </c>
      <c r="F65" s="105" t="s">
        <v>68</v>
      </c>
      <c r="G65" s="105" t="str">
        <f>VLOOKUP(E65,ACHATS!$C:$D,2,0)</f>
        <v>SEMENCES</v>
      </c>
      <c r="H65" s="105">
        <v>165</v>
      </c>
      <c r="I65" s="107">
        <f>VLOOKUP(C65,PARCELLAIRE!$D$2:$F$29,3,0)</f>
        <v>7.58</v>
      </c>
      <c r="J65" s="107">
        <f t="shared" si="0"/>
        <v>1250.7</v>
      </c>
      <c r="K65" s="107">
        <f>VLOOKUP(E65,'COUT MOYEN'!$B$1:$E$71,4,0)</f>
        <v>0.25980392156862747</v>
      </c>
      <c r="L65" s="108">
        <f t="shared" si="3"/>
        <v>324.93676470588241</v>
      </c>
      <c r="M65" s="108"/>
      <c r="N65" s="63" t="str">
        <f t="shared" si="2"/>
        <v>Escarcelou</v>
      </c>
      <c r="O65" s="172">
        <f>SUMPRODUCT(--(PARCELLAIRE!H$2:H$58=UTILISATIONS!N65))</f>
        <v>0</v>
      </c>
    </row>
    <row r="66" spans="1:15">
      <c r="A66" s="105">
        <v>2013</v>
      </c>
      <c r="B66" s="105" t="str">
        <f>INDEX(PARCELLAIRE!$B$2:$B$29,MATCH(UTILISATIONS!C66,PARCELLAIRE!$D$2:$D$29,0))</f>
        <v xml:space="preserve">BLE DUR </v>
      </c>
      <c r="C66" s="105" t="s">
        <v>144</v>
      </c>
      <c r="D66" s="106">
        <v>41207</v>
      </c>
      <c r="E66" s="105" t="s">
        <v>40</v>
      </c>
      <c r="F66" s="105" t="s">
        <v>68</v>
      </c>
      <c r="G66" s="105" t="str">
        <f>VLOOKUP(E66,ACHATS!$C:$D,2,0)</f>
        <v>SEMENCES</v>
      </c>
      <c r="H66" s="105">
        <v>170</v>
      </c>
      <c r="I66" s="107">
        <f>VLOOKUP(C66,PARCELLAIRE!$D$2:$F$29,3,0)</f>
        <v>5.27</v>
      </c>
      <c r="J66" s="107">
        <f t="shared" ref="J66:J129" si="4">I66*H66</f>
        <v>895.9</v>
      </c>
      <c r="K66" s="107">
        <f>VLOOKUP(E66,'COUT MOYEN'!$B$1:$E$71,4,0)</f>
        <v>0.80500000000000005</v>
      </c>
      <c r="L66" s="108">
        <f t="shared" si="3"/>
        <v>721.19950000000006</v>
      </c>
      <c r="M66" s="108"/>
      <c r="N66" s="63" t="str">
        <f t="shared" ref="N66:N129" si="5">IF(WHEN=A66,C66,1)</f>
        <v>Bousquet Château</v>
      </c>
      <c r="O66" s="172">
        <f>SUMPRODUCT(--(PARCELLAIRE!H$2:H$58=UTILISATIONS!N66))</f>
        <v>0</v>
      </c>
    </row>
    <row r="67" spans="1:15">
      <c r="A67" s="105">
        <v>2013</v>
      </c>
      <c r="B67" s="105" t="str">
        <f>INDEX(PARCELLAIRE!$B$2:$B$29,MATCH(UTILISATIONS!C67,PARCELLAIRE!$D$2:$D$29,0))</f>
        <v xml:space="preserve">BLE DUR </v>
      </c>
      <c r="C67" s="105" t="s">
        <v>147</v>
      </c>
      <c r="D67" s="106">
        <v>41207</v>
      </c>
      <c r="E67" s="105" t="s">
        <v>41</v>
      </c>
      <c r="F67" s="105" t="s">
        <v>68</v>
      </c>
      <c r="G67" s="105" t="str">
        <f>VLOOKUP(E67,ACHATS!$C:$D,2,0)</f>
        <v>SEMENCES</v>
      </c>
      <c r="H67" s="105">
        <v>168</v>
      </c>
      <c r="I67" s="107">
        <f>VLOOKUP(C67,PARCELLAIRE!$D$2:$F$29,3,0)</f>
        <v>5.67</v>
      </c>
      <c r="J67" s="107">
        <f t="shared" si="4"/>
        <v>952.56</v>
      </c>
      <c r="K67" s="107">
        <f>VLOOKUP(E67,'COUT MOYEN'!$B$1:$E$71,4,0)</f>
        <v>0.80500000000000005</v>
      </c>
      <c r="L67" s="108">
        <f t="shared" si="3"/>
        <v>766.81079999999997</v>
      </c>
      <c r="M67" s="108"/>
      <c r="N67" s="63" t="str">
        <f t="shared" si="5"/>
        <v>Bousquet Route</v>
      </c>
      <c r="O67" s="172">
        <f>SUMPRODUCT(--(PARCELLAIRE!H$2:H$58=UTILISATIONS!N67))</f>
        <v>0</v>
      </c>
    </row>
    <row r="68" spans="1:15">
      <c r="A68" s="110">
        <v>2013</v>
      </c>
      <c r="B68" s="105" t="str">
        <f>INDEX(PARCELLAIRE!$B$2:$B$29,MATCH(UTILISATIONS!C68,PARCELLAIRE!$D$2:$D$29,0))</f>
        <v xml:space="preserve">BLE DUR </v>
      </c>
      <c r="C68" s="110" t="s">
        <v>152</v>
      </c>
      <c r="D68" s="109">
        <v>41207</v>
      </c>
      <c r="E68" s="110" t="s">
        <v>44</v>
      </c>
      <c r="F68" s="110" t="s">
        <v>68</v>
      </c>
      <c r="G68" s="105" t="str">
        <f>VLOOKUP(E68,ACHATS!$C:$D,2,0)</f>
        <v>SEMENCES</v>
      </c>
      <c r="H68" s="110">
        <v>165</v>
      </c>
      <c r="I68" s="107">
        <f>VLOOKUP(C68,PARCELLAIRE!$D$2:$F$29,3,0)</f>
        <v>1.34</v>
      </c>
      <c r="J68" s="107">
        <f t="shared" si="4"/>
        <v>221.10000000000002</v>
      </c>
      <c r="K68" s="107">
        <f>VLOOKUP(E68,'COUT MOYEN'!$B$1:$E$71,4,0)</f>
        <v>0.25980392156862747</v>
      </c>
      <c r="L68" s="112">
        <v>321.51</v>
      </c>
      <c r="M68" s="112"/>
      <c r="N68" s="63" t="str">
        <f t="shared" si="5"/>
        <v>Escarcelou Jachère</v>
      </c>
      <c r="O68" s="172">
        <f>SUMPRODUCT(--(PARCELLAIRE!H$2:H$58=UTILISATIONS!N68))</f>
        <v>0</v>
      </c>
    </row>
    <row r="69" spans="1:15">
      <c r="A69" s="105">
        <v>2013</v>
      </c>
      <c r="B69" s="105" t="str">
        <f>INDEX(PARCELLAIRE!$B$2:$B$29,MATCH(UTILISATIONS!C69,PARCELLAIRE!$D$2:$D$29,0))</f>
        <v xml:space="preserve">BLE DUR </v>
      </c>
      <c r="C69" s="105" t="s">
        <v>172</v>
      </c>
      <c r="D69" s="106">
        <v>41211</v>
      </c>
      <c r="E69" s="105" t="s">
        <v>16</v>
      </c>
      <c r="F69" s="105" t="s">
        <v>69</v>
      </c>
      <c r="G69" s="105" t="str">
        <f>VLOOKUP(E69,ACHATS!$C:$D,2,0)</f>
        <v>DESHERBANT</v>
      </c>
      <c r="H69" s="105">
        <v>1</v>
      </c>
      <c r="I69" s="107">
        <f>VLOOKUP(C69,PARCELLAIRE!$D$2:$F$29,3,0)</f>
        <v>16.440000000000001</v>
      </c>
      <c r="J69" s="107">
        <f t="shared" si="4"/>
        <v>16.440000000000001</v>
      </c>
      <c r="K69" s="107">
        <f>VLOOKUP(E69,'COUT MOYEN'!$B$1:$E$71,4,0)</f>
        <v>4.9381521739130436</v>
      </c>
      <c r="L69" s="108">
        <f t="shared" ref="L69:L81" si="6">K69*J69</f>
        <v>81.183221739130445</v>
      </c>
      <c r="M69" s="108"/>
      <c r="N69" s="63" t="str">
        <f t="shared" si="5"/>
        <v>Lescandes Côteau</v>
      </c>
      <c r="O69" s="172">
        <f>SUMPRODUCT(--(PARCELLAIRE!H$2:H$58=UTILISATIONS!N69))</f>
        <v>0</v>
      </c>
    </row>
    <row r="70" spans="1:15">
      <c r="A70" s="105">
        <v>2013</v>
      </c>
      <c r="B70" s="105" t="str">
        <f>INDEX(PARCELLAIRE!$B$2:$B$29,MATCH(UTILISATIONS!C70,PARCELLAIRE!$D$2:$D$29,0))</f>
        <v xml:space="preserve">BLE DUR </v>
      </c>
      <c r="C70" s="105" t="s">
        <v>162</v>
      </c>
      <c r="D70" s="106">
        <v>41211</v>
      </c>
      <c r="E70" s="105" t="s">
        <v>16</v>
      </c>
      <c r="F70" s="105" t="s">
        <v>69</v>
      </c>
      <c r="G70" s="105" t="str">
        <f>VLOOKUP(E70,ACHATS!$C:$D,2,0)</f>
        <v>DESHERBANT</v>
      </c>
      <c r="H70" s="105">
        <v>1</v>
      </c>
      <c r="I70" s="107">
        <f>VLOOKUP(C70,PARCELLAIRE!$D$2:$F$29,3,0)</f>
        <v>2.67</v>
      </c>
      <c r="J70" s="107">
        <f t="shared" si="4"/>
        <v>2.67</v>
      </c>
      <c r="K70" s="107">
        <f>VLOOKUP(E70,'COUT MOYEN'!$B$1:$E$71,4,0)</f>
        <v>4.9381521739130436</v>
      </c>
      <c r="L70" s="108">
        <f t="shared" si="6"/>
        <v>13.184866304347826</v>
      </c>
      <c r="M70" s="108"/>
      <c r="N70" s="63" t="str">
        <f t="shared" si="5"/>
        <v>Lescandes</v>
      </c>
      <c r="O70" s="172">
        <f>SUMPRODUCT(--(PARCELLAIRE!H$2:H$58=UTILISATIONS!N70))</f>
        <v>0</v>
      </c>
    </row>
    <row r="71" spans="1:15">
      <c r="A71" s="105">
        <v>2013</v>
      </c>
      <c r="B71" s="105" t="str">
        <f>INDEX(PARCELLAIRE!$B$2:$B$29,MATCH(UTILISATIONS!C71,PARCELLAIRE!$D$2:$D$29,0))</f>
        <v xml:space="preserve">BLE DUR </v>
      </c>
      <c r="C71" s="105" t="s">
        <v>161</v>
      </c>
      <c r="D71" s="106">
        <v>41211</v>
      </c>
      <c r="E71" s="105" t="s">
        <v>16</v>
      </c>
      <c r="F71" s="105" t="s">
        <v>69</v>
      </c>
      <c r="G71" s="105" t="str">
        <f>VLOOKUP(E71,ACHATS!$C:$D,2,0)</f>
        <v>DESHERBANT</v>
      </c>
      <c r="H71" s="105">
        <v>1</v>
      </c>
      <c r="I71" s="107">
        <f>VLOOKUP(C71,PARCELLAIRE!$D$2:$F$29,3,0)</f>
        <v>5.07</v>
      </c>
      <c r="J71" s="107">
        <f t="shared" si="4"/>
        <v>5.07</v>
      </c>
      <c r="K71" s="107">
        <f>VLOOKUP(E71,'COUT MOYEN'!$B$1:$E$71,4,0)</f>
        <v>4.9381521739130436</v>
      </c>
      <c r="L71" s="108">
        <f t="shared" si="6"/>
        <v>25.036431521739132</v>
      </c>
      <c r="M71" s="108"/>
      <c r="N71" s="63" t="str">
        <f t="shared" si="5"/>
        <v>Laclos</v>
      </c>
      <c r="O71" s="172">
        <f>SUMPRODUCT(--(PARCELLAIRE!H$2:H$58=UTILISATIONS!N71))</f>
        <v>0</v>
      </c>
    </row>
    <row r="72" spans="1:15">
      <c r="A72" s="105">
        <v>2013</v>
      </c>
      <c r="B72" s="105" t="str">
        <f>INDEX(PARCELLAIRE!$B$2:$B$29,MATCH(UTILISATIONS!C72,PARCELLAIRE!$D$2:$D$29,0))</f>
        <v xml:space="preserve">BLE DUR </v>
      </c>
      <c r="C72" s="105" t="s">
        <v>151</v>
      </c>
      <c r="D72" s="106">
        <v>41211</v>
      </c>
      <c r="E72" s="105" t="s">
        <v>16</v>
      </c>
      <c r="F72" s="105" t="s">
        <v>69</v>
      </c>
      <c r="G72" s="105" t="str">
        <f>VLOOKUP(E72,ACHATS!$C:$D,2,0)</f>
        <v>DESHERBANT</v>
      </c>
      <c r="H72" s="105">
        <v>1</v>
      </c>
      <c r="I72" s="107">
        <f>VLOOKUP(C72,PARCELLAIRE!$D$2:$F$29,3,0)</f>
        <v>7.58</v>
      </c>
      <c r="J72" s="107">
        <f t="shared" si="4"/>
        <v>7.58</v>
      </c>
      <c r="K72" s="107">
        <f>VLOOKUP(E72,'COUT MOYEN'!$B$1:$E$71,4,0)</f>
        <v>4.9381521739130436</v>
      </c>
      <c r="L72" s="108">
        <f t="shared" si="6"/>
        <v>37.431193478260873</v>
      </c>
      <c r="M72" s="108"/>
      <c r="N72" s="63" t="str">
        <f t="shared" si="5"/>
        <v>Escarcelou</v>
      </c>
      <c r="O72" s="172">
        <f>SUMPRODUCT(--(PARCELLAIRE!H$2:H$58=UTILISATIONS!N72))</f>
        <v>0</v>
      </c>
    </row>
    <row r="73" spans="1:15">
      <c r="A73" s="105">
        <v>2013</v>
      </c>
      <c r="B73" s="105" t="str">
        <f>INDEX(PARCELLAIRE!$B$2:$B$29,MATCH(UTILISATIONS!C73,PARCELLAIRE!$D$2:$D$29,0))</f>
        <v xml:space="preserve">BLE DUR </v>
      </c>
      <c r="C73" s="105" t="s">
        <v>176</v>
      </c>
      <c r="D73" s="106">
        <v>41211</v>
      </c>
      <c r="E73" s="105" t="s">
        <v>16</v>
      </c>
      <c r="F73" s="105" t="s">
        <v>69</v>
      </c>
      <c r="G73" s="105" t="str">
        <f>VLOOKUP(E73,ACHATS!$C:$D,2,0)</f>
        <v>DESHERBANT</v>
      </c>
      <c r="H73" s="105">
        <v>1</v>
      </c>
      <c r="I73" s="107">
        <f>VLOOKUP(C73,PARCELLAIRE!$D$2:$F$29,3,0)</f>
        <v>11.9</v>
      </c>
      <c r="J73" s="107">
        <f t="shared" si="4"/>
        <v>11.9</v>
      </c>
      <c r="K73" s="107">
        <f>VLOOKUP(E73,'COUT MOYEN'!$B$1:$E$71,4,0)</f>
        <v>4.9381521739130436</v>
      </c>
      <c r="L73" s="108">
        <f t="shared" si="6"/>
        <v>58.764010869565219</v>
      </c>
      <c r="M73" s="108"/>
      <c r="N73" s="63" t="str">
        <f t="shared" si="5"/>
        <v>Labaou Devant</v>
      </c>
      <c r="O73" s="172">
        <f>SUMPRODUCT(--(PARCELLAIRE!H$2:H$58=UTILISATIONS!N73))</f>
        <v>0</v>
      </c>
    </row>
    <row r="74" spans="1:15">
      <c r="A74" s="105">
        <v>2013</v>
      </c>
      <c r="B74" s="105" t="str">
        <f>INDEX(PARCELLAIRE!$B$2:$B$29,MATCH(UTILISATIONS!C74,PARCELLAIRE!$D$2:$D$29,0))</f>
        <v xml:space="preserve">BLE DUR </v>
      </c>
      <c r="C74" s="105" t="s">
        <v>153</v>
      </c>
      <c r="D74" s="106">
        <v>41211</v>
      </c>
      <c r="E74" s="105" t="s">
        <v>16</v>
      </c>
      <c r="F74" s="105" t="s">
        <v>69</v>
      </c>
      <c r="G74" s="105" t="str">
        <f>VLOOKUP(E74,ACHATS!$C:$D,2,0)</f>
        <v>DESHERBANT</v>
      </c>
      <c r="H74" s="105">
        <v>1</v>
      </c>
      <c r="I74" s="107">
        <f>VLOOKUP(C74,PARCELLAIRE!$D$2:$F$29,3,0)</f>
        <v>7.5</v>
      </c>
      <c r="J74" s="107">
        <f t="shared" si="4"/>
        <v>7.5</v>
      </c>
      <c r="K74" s="107">
        <f>VLOOKUP(E74,'COUT MOYEN'!$B$1:$E$71,4,0)</f>
        <v>4.9381521739130436</v>
      </c>
      <c r="L74" s="108">
        <f t="shared" si="6"/>
        <v>37.036141304347829</v>
      </c>
      <c r="M74" s="108"/>
      <c r="N74" s="63" t="str">
        <f t="shared" si="5"/>
        <v>Escarcelou Pte</v>
      </c>
      <c r="O74" s="172">
        <f>SUMPRODUCT(--(PARCELLAIRE!H$2:H$58=UTILISATIONS!N74))</f>
        <v>0</v>
      </c>
    </row>
    <row r="75" spans="1:15">
      <c r="A75" s="105">
        <v>2013</v>
      </c>
      <c r="B75" s="105" t="str">
        <f>INDEX(PARCELLAIRE!$B$2:$B$29,MATCH(UTILISATIONS!C75,PARCELLAIRE!$D$2:$D$29,0))</f>
        <v>TOURNESOL</v>
      </c>
      <c r="C75" s="105" t="s">
        <v>164</v>
      </c>
      <c r="D75" s="109">
        <v>41211</v>
      </c>
      <c r="E75" s="105" t="s">
        <v>16</v>
      </c>
      <c r="F75" s="105" t="s">
        <v>69</v>
      </c>
      <c r="G75" s="105" t="str">
        <f>VLOOKUP(E75,ACHATS!$C:$D,2,0)</f>
        <v>DESHERBANT</v>
      </c>
      <c r="H75" s="105">
        <v>1</v>
      </c>
      <c r="I75" s="107">
        <f>VLOOKUP(C75,PARCELLAIRE!$D$2:$F$29,3,0)</f>
        <v>21.88</v>
      </c>
      <c r="J75" s="107">
        <f t="shared" si="4"/>
        <v>21.88</v>
      </c>
      <c r="K75" s="107">
        <f>VLOOKUP(E75,'COUT MOYEN'!$B$1:$E$71,4,0)</f>
        <v>4.9381521739130436</v>
      </c>
      <c r="L75" s="108">
        <f t="shared" si="6"/>
        <v>108.04676956521739</v>
      </c>
      <c r="M75" s="108"/>
      <c r="N75" s="63" t="str">
        <f t="shared" si="5"/>
        <v>Moulin Barthes</v>
      </c>
      <c r="O75" s="172">
        <f>SUMPRODUCT(--(PARCELLAIRE!H$2:H$58=UTILISATIONS!N75))</f>
        <v>0</v>
      </c>
    </row>
    <row r="76" spans="1:15">
      <c r="A76" s="105">
        <v>2013</v>
      </c>
      <c r="B76" s="105" t="str">
        <f>INDEX(PARCELLAIRE!$B$2:$B$29,MATCH(UTILISATIONS!C76,PARCELLAIRE!$D$2:$D$29,0))</f>
        <v xml:space="preserve">BLE DUR </v>
      </c>
      <c r="C76" s="105" t="s">
        <v>151</v>
      </c>
      <c r="D76" s="106">
        <v>41211</v>
      </c>
      <c r="E76" s="105" t="s">
        <v>25</v>
      </c>
      <c r="F76" s="105" t="s">
        <v>69</v>
      </c>
      <c r="G76" s="105" t="str">
        <f>VLOOKUP(E76,ACHATS!$C:$D,2,0)</f>
        <v>DIVERS</v>
      </c>
      <c r="H76" s="105">
        <v>0.2</v>
      </c>
      <c r="I76" s="107">
        <f>VLOOKUP(C76,PARCELLAIRE!$D$2:$F$29,3,0)</f>
        <v>7.58</v>
      </c>
      <c r="J76" s="107">
        <f t="shared" si="4"/>
        <v>1.516</v>
      </c>
      <c r="K76" s="107">
        <f>VLOOKUP(E76,'COUT MOYEN'!$B$1:$E$71,4,0)</f>
        <v>11.01</v>
      </c>
      <c r="L76" s="108">
        <f t="shared" si="6"/>
        <v>16.69116</v>
      </c>
      <c r="M76" s="108"/>
      <c r="N76" s="63" t="str">
        <f t="shared" si="5"/>
        <v>Escarcelou</v>
      </c>
      <c r="O76" s="172">
        <f>SUMPRODUCT(--(PARCELLAIRE!H$2:H$58=UTILISATIONS!N76))</f>
        <v>0</v>
      </c>
    </row>
    <row r="77" spans="1:15">
      <c r="A77" s="105">
        <v>2013</v>
      </c>
      <c r="B77" s="105" t="str">
        <f>INDEX(PARCELLAIRE!$B$2:$B$29,MATCH(UTILISATIONS!C77,PARCELLAIRE!$D$2:$D$29,0))</f>
        <v xml:space="preserve">BLE DUR </v>
      </c>
      <c r="C77" s="105" t="s">
        <v>153</v>
      </c>
      <c r="D77" s="106">
        <v>41211</v>
      </c>
      <c r="E77" s="105" t="s">
        <v>25</v>
      </c>
      <c r="F77" s="105" t="s">
        <v>69</v>
      </c>
      <c r="G77" s="105" t="str">
        <f>VLOOKUP(E77,ACHATS!$C:$D,2,0)</f>
        <v>DIVERS</v>
      </c>
      <c r="H77" s="105">
        <v>0.2</v>
      </c>
      <c r="I77" s="107">
        <f>VLOOKUP(C77,PARCELLAIRE!$D$2:$F$29,3,0)</f>
        <v>7.5</v>
      </c>
      <c r="J77" s="107">
        <f t="shared" si="4"/>
        <v>1.5</v>
      </c>
      <c r="K77" s="107">
        <f>VLOOKUP(E77,'COUT MOYEN'!$B$1:$E$71,4,0)</f>
        <v>11.01</v>
      </c>
      <c r="L77" s="108">
        <f t="shared" si="6"/>
        <v>16.515000000000001</v>
      </c>
      <c r="M77" s="108"/>
      <c r="N77" s="63" t="str">
        <f t="shared" si="5"/>
        <v>Escarcelou Pte</v>
      </c>
      <c r="O77" s="172">
        <f>SUMPRODUCT(--(PARCELLAIRE!H$2:H$58=UTILISATIONS!N77))</f>
        <v>0</v>
      </c>
    </row>
    <row r="78" spans="1:15">
      <c r="A78" s="105">
        <v>2013</v>
      </c>
      <c r="B78" s="105" t="str">
        <f>INDEX(PARCELLAIRE!$B$2:$B$29,MATCH(UTILISATIONS!C78,PARCELLAIRE!$D$2:$D$29,0))</f>
        <v xml:space="preserve">BLE DUR </v>
      </c>
      <c r="C78" s="105" t="s">
        <v>161</v>
      </c>
      <c r="D78" s="106">
        <v>41211</v>
      </c>
      <c r="E78" s="105" t="s">
        <v>25</v>
      </c>
      <c r="F78" s="105" t="s">
        <v>69</v>
      </c>
      <c r="G78" s="105" t="str">
        <f>VLOOKUP(E78,ACHATS!$C:$D,2,0)</f>
        <v>DIVERS</v>
      </c>
      <c r="H78" s="105">
        <v>0.2</v>
      </c>
      <c r="I78" s="107">
        <f>VLOOKUP(C78,PARCELLAIRE!$D$2:$F$29,3,0)</f>
        <v>5.07</v>
      </c>
      <c r="J78" s="107">
        <f t="shared" si="4"/>
        <v>1.014</v>
      </c>
      <c r="K78" s="107">
        <f>VLOOKUP(E78,'COUT MOYEN'!$B$1:$E$71,4,0)</f>
        <v>11.01</v>
      </c>
      <c r="L78" s="108">
        <f t="shared" si="6"/>
        <v>11.16414</v>
      </c>
      <c r="M78" s="108"/>
      <c r="N78" s="63" t="str">
        <f t="shared" si="5"/>
        <v>Laclos</v>
      </c>
      <c r="O78" s="172">
        <f>SUMPRODUCT(--(PARCELLAIRE!H$2:H$58=UTILISATIONS!N78))</f>
        <v>0</v>
      </c>
    </row>
    <row r="79" spans="1:15">
      <c r="A79" s="105">
        <v>2013</v>
      </c>
      <c r="B79" s="105" t="str">
        <f>INDEX(PARCELLAIRE!$B$2:$B$29,MATCH(UTILISATIONS!C79,PARCELLAIRE!$D$2:$D$29,0))</f>
        <v xml:space="preserve">BLE DUR </v>
      </c>
      <c r="C79" s="105" t="s">
        <v>162</v>
      </c>
      <c r="D79" s="106">
        <v>41211</v>
      </c>
      <c r="E79" s="105" t="s">
        <v>25</v>
      </c>
      <c r="F79" s="105" t="s">
        <v>69</v>
      </c>
      <c r="G79" s="105" t="str">
        <f>VLOOKUP(E79,ACHATS!$C:$D,2,0)</f>
        <v>DIVERS</v>
      </c>
      <c r="H79" s="105">
        <v>0.2</v>
      </c>
      <c r="I79" s="107">
        <f>VLOOKUP(C79,PARCELLAIRE!$D$2:$F$29,3,0)</f>
        <v>2.67</v>
      </c>
      <c r="J79" s="107">
        <f t="shared" si="4"/>
        <v>0.53400000000000003</v>
      </c>
      <c r="K79" s="107">
        <f>VLOOKUP(E79,'COUT MOYEN'!$B$1:$E$71,4,0)</f>
        <v>11.01</v>
      </c>
      <c r="L79" s="108">
        <f t="shared" si="6"/>
        <v>5.87934</v>
      </c>
      <c r="M79" s="108"/>
      <c r="N79" s="63" t="str">
        <f t="shared" si="5"/>
        <v>Lescandes</v>
      </c>
      <c r="O79" s="172">
        <f>SUMPRODUCT(--(PARCELLAIRE!H$2:H$58=UTILISATIONS!N79))</f>
        <v>0</v>
      </c>
    </row>
    <row r="80" spans="1:15">
      <c r="A80" s="105">
        <v>2013</v>
      </c>
      <c r="B80" s="105" t="str">
        <f>INDEX(PARCELLAIRE!$B$2:$B$29,MATCH(UTILISATIONS!C80,PARCELLAIRE!$D$2:$D$29,0))</f>
        <v xml:space="preserve">BLE DUR </v>
      </c>
      <c r="C80" s="105" t="s">
        <v>172</v>
      </c>
      <c r="D80" s="106">
        <v>41211</v>
      </c>
      <c r="E80" s="105" t="s">
        <v>25</v>
      </c>
      <c r="F80" s="105" t="s">
        <v>69</v>
      </c>
      <c r="G80" s="105" t="str">
        <f>VLOOKUP(E80,ACHATS!$C:$D,2,0)</f>
        <v>DIVERS</v>
      </c>
      <c r="H80" s="105">
        <v>0.2</v>
      </c>
      <c r="I80" s="107">
        <f>VLOOKUP(C80,PARCELLAIRE!$D$2:$F$29,3,0)</f>
        <v>16.440000000000001</v>
      </c>
      <c r="J80" s="107">
        <f t="shared" si="4"/>
        <v>3.2880000000000003</v>
      </c>
      <c r="K80" s="107">
        <f>VLOOKUP(E80,'COUT MOYEN'!$B$1:$E$71,4,0)</f>
        <v>11.01</v>
      </c>
      <c r="L80" s="108">
        <f t="shared" si="6"/>
        <v>36.200880000000005</v>
      </c>
      <c r="M80" s="108"/>
      <c r="N80" s="63" t="str">
        <f t="shared" si="5"/>
        <v>Lescandes Côteau</v>
      </c>
      <c r="O80" s="172">
        <f>SUMPRODUCT(--(PARCELLAIRE!H$2:H$58=UTILISATIONS!N80))</f>
        <v>0</v>
      </c>
    </row>
    <row r="81" spans="1:15">
      <c r="A81" s="110">
        <v>2013</v>
      </c>
      <c r="B81" s="105" t="str">
        <f>INDEX(PARCELLAIRE!$B$2:$B$29,MATCH(UTILISATIONS!C81,PARCELLAIRE!$D$2:$D$29,0))</f>
        <v xml:space="preserve">BLE DUR </v>
      </c>
      <c r="C81" s="110" t="s">
        <v>176</v>
      </c>
      <c r="D81" s="109">
        <v>41211</v>
      </c>
      <c r="E81" s="110" t="s">
        <v>25</v>
      </c>
      <c r="F81" s="110" t="s">
        <v>69</v>
      </c>
      <c r="G81" s="110" t="s">
        <v>24</v>
      </c>
      <c r="H81" s="110">
        <v>0.2</v>
      </c>
      <c r="I81" s="107">
        <f>VLOOKUP(C81,PARCELLAIRE!$D$2:$F$29,3,0)</f>
        <v>11.9</v>
      </c>
      <c r="J81" s="107">
        <f t="shared" si="4"/>
        <v>2.3800000000000003</v>
      </c>
      <c r="K81" s="107">
        <f>VLOOKUP(E81,'COUT MOYEN'!$B$1:$E$71,4,0)</f>
        <v>11.01</v>
      </c>
      <c r="L81" s="108">
        <f t="shared" si="6"/>
        <v>26.203800000000005</v>
      </c>
      <c r="M81" s="108"/>
      <c r="N81" s="63" t="str">
        <f t="shared" si="5"/>
        <v>Labaou Devant</v>
      </c>
      <c r="O81" s="172">
        <f>SUMPRODUCT(--(PARCELLAIRE!H$2:H$58=UTILISATIONS!N81))</f>
        <v>0</v>
      </c>
    </row>
    <row r="82" spans="1:15">
      <c r="A82" s="110">
        <v>2013</v>
      </c>
      <c r="B82" s="105" t="str">
        <f>INDEX(PARCELLAIRE!$B$2:$B$29,MATCH(UTILISATIONS!C82,PARCELLAIRE!$D$2:$D$29,0))</f>
        <v xml:space="preserve">BLE DUR </v>
      </c>
      <c r="C82" s="110" t="s">
        <v>152</v>
      </c>
      <c r="D82" s="109">
        <v>41211</v>
      </c>
      <c r="E82" s="110" t="s">
        <v>16</v>
      </c>
      <c r="F82" s="110" t="s">
        <v>69</v>
      </c>
      <c r="G82" s="105" t="str">
        <f>VLOOKUP(E82,ACHATS!$C:$D,2,0)</f>
        <v>DESHERBANT</v>
      </c>
      <c r="H82" s="110">
        <v>1</v>
      </c>
      <c r="I82" s="107">
        <f>VLOOKUP(C82,PARCELLAIRE!$D$2:$F$29,3,0)</f>
        <v>1.34</v>
      </c>
      <c r="J82" s="107">
        <f t="shared" si="4"/>
        <v>1.34</v>
      </c>
      <c r="K82" s="107">
        <f>VLOOKUP(E82,'COUT MOYEN'!$B$1:$E$71,4,0)</f>
        <v>4.9381521739130436</v>
      </c>
      <c r="L82" s="112">
        <v>37.04</v>
      </c>
      <c r="M82" s="112"/>
      <c r="N82" s="63" t="str">
        <f t="shared" si="5"/>
        <v>Escarcelou Jachère</v>
      </c>
      <c r="O82" s="172">
        <f>SUMPRODUCT(--(PARCELLAIRE!H$2:H$58=UTILISATIONS!N82))</f>
        <v>0</v>
      </c>
    </row>
    <row r="83" spans="1:15">
      <c r="A83" s="110">
        <v>2013</v>
      </c>
      <c r="B83" s="105" t="str">
        <f>INDEX(PARCELLAIRE!$B$2:$B$29,MATCH(UTILISATIONS!C83,PARCELLAIRE!$D$2:$D$29,0))</f>
        <v xml:space="preserve">BLE DUR </v>
      </c>
      <c r="C83" s="110" t="s">
        <v>152</v>
      </c>
      <c r="D83" s="109">
        <v>41211</v>
      </c>
      <c r="E83" s="110" t="s">
        <v>25</v>
      </c>
      <c r="F83" s="110" t="s">
        <v>69</v>
      </c>
      <c r="G83" s="105" t="str">
        <f>VLOOKUP(E83,ACHATS!$C:$D,2,0)</f>
        <v>DIVERS</v>
      </c>
      <c r="H83" s="110">
        <v>0.2</v>
      </c>
      <c r="I83" s="107">
        <f>VLOOKUP(C83,PARCELLAIRE!$D$2:$F$29,3,0)</f>
        <v>1.34</v>
      </c>
      <c r="J83" s="107">
        <f t="shared" si="4"/>
        <v>0.26800000000000002</v>
      </c>
      <c r="K83" s="107">
        <f>VLOOKUP(E83,'COUT MOYEN'!$B$1:$E$71,4,0)</f>
        <v>11.01</v>
      </c>
      <c r="L83" s="112">
        <v>16.52</v>
      </c>
      <c r="M83" s="112"/>
      <c r="N83" s="63" t="str">
        <f t="shared" si="5"/>
        <v>Escarcelou Jachère</v>
      </c>
      <c r="O83" s="172">
        <f>SUMPRODUCT(--(PARCELLAIRE!H$2:H$58=UTILISATIONS!N83))</f>
        <v>0</v>
      </c>
    </row>
    <row r="84" spans="1:15">
      <c r="A84" s="105">
        <v>2013</v>
      </c>
      <c r="B84" s="105" t="str">
        <f>INDEX(PARCELLAIRE!$B$2:$B$29,MATCH(UTILISATIONS!C84,PARCELLAIRE!$D$2:$D$29,0))</f>
        <v xml:space="preserve">BLE DUR </v>
      </c>
      <c r="C84" s="105" t="s">
        <v>161</v>
      </c>
      <c r="D84" s="106">
        <v>41212</v>
      </c>
      <c r="E84" s="105" t="s">
        <v>43</v>
      </c>
      <c r="F84" s="105" t="s">
        <v>69</v>
      </c>
      <c r="G84" s="105" t="str">
        <f>VLOOKUP(E84,ACHATS!$C:$D,2,0)</f>
        <v>SEMENCES</v>
      </c>
      <c r="H84" s="105">
        <v>170</v>
      </c>
      <c r="I84" s="107">
        <f>VLOOKUP(C84,PARCELLAIRE!$D$2:$F$29,3,0)</f>
        <v>5.07</v>
      </c>
      <c r="J84" s="107">
        <f t="shared" si="4"/>
        <v>861.90000000000009</v>
      </c>
      <c r="K84" s="107">
        <f>VLOOKUP(E84,'COUT MOYEN'!$B$1:$E$71,4,0)</f>
        <v>0.26000473596968982</v>
      </c>
      <c r="L84" s="108">
        <f t="shared" ref="L84:L97" si="7">K84*J84</f>
        <v>224.09808193227568</v>
      </c>
      <c r="M84" s="108"/>
      <c r="N84" s="63" t="str">
        <f t="shared" si="5"/>
        <v>Laclos</v>
      </c>
      <c r="O84" s="172">
        <f>SUMPRODUCT(--(PARCELLAIRE!H$2:H$58=UTILISATIONS!N84))</f>
        <v>0</v>
      </c>
    </row>
    <row r="85" spans="1:15">
      <c r="A85" s="105">
        <v>2013</v>
      </c>
      <c r="B85" s="105" t="str">
        <f>INDEX(PARCELLAIRE!$B$2:$B$29,MATCH(UTILISATIONS!C85,PARCELLAIRE!$D$2:$D$29,0))</f>
        <v xml:space="preserve">BLE DUR </v>
      </c>
      <c r="C85" s="105" t="s">
        <v>161</v>
      </c>
      <c r="D85" s="106">
        <v>41212</v>
      </c>
      <c r="E85" s="105" t="s">
        <v>39</v>
      </c>
      <c r="F85" s="105" t="s">
        <v>68</v>
      </c>
      <c r="G85" s="105" t="str">
        <f>VLOOKUP(E85,ACHATS!$C:$D,2,0)</f>
        <v>SEMENCES</v>
      </c>
      <c r="H85" s="107">
        <v>165</v>
      </c>
      <c r="I85" s="107">
        <f>VLOOKUP(C85,PARCELLAIRE!$D$2:$F$29,3,0)</f>
        <v>5.07</v>
      </c>
      <c r="J85" s="107">
        <f t="shared" si="4"/>
        <v>836.55000000000007</v>
      </c>
      <c r="K85" s="107">
        <f>VLOOKUP(E85,'COUT MOYEN'!$B$1:$E$71,4,0)</f>
        <v>0.80500000000000005</v>
      </c>
      <c r="L85" s="108">
        <f t="shared" si="7"/>
        <v>673.42275000000006</v>
      </c>
      <c r="M85" s="108"/>
      <c r="N85" s="63" t="str">
        <f t="shared" si="5"/>
        <v>Laclos</v>
      </c>
      <c r="O85" s="172">
        <f>SUMPRODUCT(--(PARCELLAIRE!H$2:H$58=UTILISATIONS!N85))</f>
        <v>0</v>
      </c>
    </row>
    <row r="86" spans="1:15">
      <c r="A86" s="105">
        <v>2013</v>
      </c>
      <c r="B86" s="105" t="str">
        <f>INDEX(PARCELLAIRE!$B$2:$B$29,MATCH(UTILISATIONS!C86,PARCELLAIRE!$D$2:$D$29,0))</f>
        <v xml:space="preserve">BLE DUR </v>
      </c>
      <c r="C86" s="105" t="s">
        <v>174</v>
      </c>
      <c r="D86" s="106">
        <v>41220</v>
      </c>
      <c r="E86" s="105" t="s">
        <v>16</v>
      </c>
      <c r="F86" s="105" t="s">
        <v>69</v>
      </c>
      <c r="G86" s="105" t="str">
        <f>VLOOKUP(E86,ACHATS!$C:$D,2,0)</f>
        <v>DESHERBANT</v>
      </c>
      <c r="H86" s="105">
        <v>1</v>
      </c>
      <c r="I86" s="107">
        <f>VLOOKUP(C86,PARCELLAIRE!$D$2:$F$29,3,0)</f>
        <v>12.49</v>
      </c>
      <c r="J86" s="107">
        <f t="shared" si="4"/>
        <v>12.49</v>
      </c>
      <c r="K86" s="107">
        <f>VLOOKUP(E86,'COUT MOYEN'!$B$1:$E$71,4,0)</f>
        <v>4.9381521739130436</v>
      </c>
      <c r="L86" s="108">
        <f t="shared" si="7"/>
        <v>61.677520652173918</v>
      </c>
      <c r="M86" s="108"/>
      <c r="N86" s="63" t="str">
        <f t="shared" si="5"/>
        <v>Engleyse Bousquet</v>
      </c>
      <c r="O86" s="172">
        <f>SUMPRODUCT(--(PARCELLAIRE!H$2:H$58=UTILISATIONS!N86))</f>
        <v>0</v>
      </c>
    </row>
    <row r="87" spans="1:15">
      <c r="A87" s="105">
        <v>2013</v>
      </c>
      <c r="B87" s="105" t="str">
        <f>INDEX(PARCELLAIRE!$B$2:$B$29,MATCH(UTILISATIONS!C87,PARCELLAIRE!$D$2:$D$29,0))</f>
        <v xml:space="preserve">BLE DUR </v>
      </c>
      <c r="C87" s="105" t="s">
        <v>162</v>
      </c>
      <c r="D87" s="106">
        <v>41220</v>
      </c>
      <c r="E87" s="105" t="s">
        <v>43</v>
      </c>
      <c r="F87" s="105" t="s">
        <v>69</v>
      </c>
      <c r="G87" s="105" t="str">
        <f>VLOOKUP(E87,ACHATS!$C:$D,2,0)</f>
        <v>SEMENCES</v>
      </c>
      <c r="H87" s="105">
        <v>176</v>
      </c>
      <c r="I87" s="107">
        <f>VLOOKUP(C87,PARCELLAIRE!$D$2:$F$29,3,0)</f>
        <v>2.67</v>
      </c>
      <c r="J87" s="107">
        <f t="shared" si="4"/>
        <v>469.91999999999996</v>
      </c>
      <c r="K87" s="107">
        <f>VLOOKUP(E87,'COUT MOYEN'!$B$1:$E$71,4,0)</f>
        <v>0.26000473596968982</v>
      </c>
      <c r="L87" s="108">
        <f t="shared" si="7"/>
        <v>122.18142552687662</v>
      </c>
      <c r="M87" s="108"/>
      <c r="N87" s="63" t="str">
        <f t="shared" si="5"/>
        <v>Lescandes</v>
      </c>
      <c r="O87" s="172">
        <f>SUMPRODUCT(--(PARCELLAIRE!H$2:H$58=UTILISATIONS!N87))</f>
        <v>0</v>
      </c>
    </row>
    <row r="88" spans="1:15">
      <c r="A88" s="105">
        <v>2013</v>
      </c>
      <c r="B88" s="105" t="str">
        <f>INDEX(PARCELLAIRE!$B$2:$B$29,MATCH(UTILISATIONS!C88,PARCELLAIRE!$D$2:$D$29,0))</f>
        <v xml:space="preserve">BLE DUR </v>
      </c>
      <c r="C88" s="105" t="s">
        <v>172</v>
      </c>
      <c r="D88" s="106">
        <v>41220</v>
      </c>
      <c r="E88" s="105" t="s">
        <v>43</v>
      </c>
      <c r="F88" s="105" t="s">
        <v>69</v>
      </c>
      <c r="G88" s="105" t="str">
        <f>VLOOKUP(E88,ACHATS!$C:$D,2,0)</f>
        <v>SEMENCES</v>
      </c>
      <c r="H88" s="105">
        <v>176</v>
      </c>
      <c r="I88" s="107">
        <f>VLOOKUP(C88,PARCELLAIRE!$D$2:$F$29,3,0)</f>
        <v>16.440000000000001</v>
      </c>
      <c r="J88" s="107">
        <f t="shared" si="4"/>
        <v>2893.44</v>
      </c>
      <c r="K88" s="107">
        <f>VLOOKUP(E88,'COUT MOYEN'!$B$1:$E$71,4,0)</f>
        <v>0.26000473596968982</v>
      </c>
      <c r="L88" s="108">
        <f t="shared" si="7"/>
        <v>752.30810324413926</v>
      </c>
      <c r="M88" s="108"/>
      <c r="N88" s="63" t="str">
        <f t="shared" si="5"/>
        <v>Lescandes Côteau</v>
      </c>
      <c r="O88" s="172">
        <f>SUMPRODUCT(--(PARCELLAIRE!H$2:H$58=UTILISATIONS!N88))</f>
        <v>0</v>
      </c>
    </row>
    <row r="89" spans="1:15">
      <c r="A89" s="105">
        <v>2013</v>
      </c>
      <c r="B89" s="105" t="str">
        <f>INDEX(PARCELLAIRE!$B$2:$B$29,MATCH(UTILISATIONS!C89,PARCELLAIRE!$D$2:$D$29,0))</f>
        <v xml:space="preserve">BLE DUR </v>
      </c>
      <c r="C89" s="105" t="s">
        <v>174</v>
      </c>
      <c r="D89" s="106">
        <v>41220</v>
      </c>
      <c r="E89" s="105" t="s">
        <v>25</v>
      </c>
      <c r="F89" s="105" t="s">
        <v>69</v>
      </c>
      <c r="G89" s="105" t="str">
        <f>VLOOKUP(E89,ACHATS!$C:$D,2,0)</f>
        <v>DIVERS</v>
      </c>
      <c r="H89" s="105">
        <v>0.2</v>
      </c>
      <c r="I89" s="107">
        <f>VLOOKUP(C89,PARCELLAIRE!$D$2:$F$29,3,0)</f>
        <v>12.49</v>
      </c>
      <c r="J89" s="107">
        <f t="shared" si="4"/>
        <v>2.4980000000000002</v>
      </c>
      <c r="K89" s="107">
        <f>VLOOKUP(E89,'COUT MOYEN'!$B$1:$E$71,4,0)</f>
        <v>11.01</v>
      </c>
      <c r="L89" s="108">
        <f t="shared" si="7"/>
        <v>27.502980000000001</v>
      </c>
      <c r="M89" s="108"/>
      <c r="N89" s="63" t="str">
        <f t="shared" si="5"/>
        <v>Engleyse Bousquet</v>
      </c>
      <c r="O89" s="172">
        <f>SUMPRODUCT(--(PARCELLAIRE!H$2:H$58=UTILISATIONS!N89))</f>
        <v>0</v>
      </c>
    </row>
    <row r="90" spans="1:15">
      <c r="A90" s="105">
        <v>2013</v>
      </c>
      <c r="B90" s="105" t="str">
        <f>INDEX(PARCELLAIRE!$B$2:$B$29,MATCH(UTILISATIONS!C90,PARCELLAIRE!$D$2:$D$29,0))</f>
        <v xml:space="preserve">BLE DUR </v>
      </c>
      <c r="C90" s="105" t="s">
        <v>174</v>
      </c>
      <c r="D90" s="106">
        <v>41222</v>
      </c>
      <c r="E90" s="105" t="s">
        <v>45</v>
      </c>
      <c r="F90" s="105" t="s">
        <v>68</v>
      </c>
      <c r="G90" s="105" t="str">
        <f>VLOOKUP(E90,ACHATS!$C:$D,2,0)</f>
        <v>SEMENCES</v>
      </c>
      <c r="H90" s="105">
        <v>179</v>
      </c>
      <c r="I90" s="107">
        <f>VLOOKUP(C90,PARCELLAIRE!$D$2:$F$29,3,0)</f>
        <v>12.49</v>
      </c>
      <c r="J90" s="107">
        <f t="shared" si="4"/>
        <v>2235.71</v>
      </c>
      <c r="K90" s="107">
        <f>VLOOKUP(E90,'COUT MOYEN'!$B$1:$E$71,4,0)</f>
        <v>0.26</v>
      </c>
      <c r="L90" s="108">
        <f t="shared" si="7"/>
        <v>581.28460000000007</v>
      </c>
      <c r="M90" s="108"/>
      <c r="N90" s="63" t="str">
        <f t="shared" si="5"/>
        <v>Engleyse Bousquet</v>
      </c>
      <c r="O90" s="172">
        <f>SUMPRODUCT(--(PARCELLAIRE!H$2:H$58=UTILISATIONS!N90))</f>
        <v>0</v>
      </c>
    </row>
    <row r="91" spans="1:15">
      <c r="A91" s="105">
        <v>2013</v>
      </c>
      <c r="B91" s="105" t="str">
        <f>INDEX(PARCELLAIRE!$B$2:$B$29,MATCH(UTILISATIONS!C91,PARCELLAIRE!$D$2:$D$29,0))</f>
        <v xml:space="preserve">BLE DUR </v>
      </c>
      <c r="C91" s="105" t="s">
        <v>174</v>
      </c>
      <c r="D91" s="106">
        <v>41222</v>
      </c>
      <c r="E91" s="105" t="s">
        <v>42</v>
      </c>
      <c r="F91" s="105" t="s">
        <v>68</v>
      </c>
      <c r="G91" s="105" t="str">
        <f>VLOOKUP(E91,ACHATS!$C:$D,2,0)</f>
        <v>SEMENCES</v>
      </c>
      <c r="H91" s="105">
        <v>179</v>
      </c>
      <c r="I91" s="107">
        <f>VLOOKUP(C91,PARCELLAIRE!$D$2:$F$29,3,0)</f>
        <v>12.49</v>
      </c>
      <c r="J91" s="107">
        <f t="shared" si="4"/>
        <v>2235.71</v>
      </c>
      <c r="K91" s="107">
        <f>VLOOKUP(E91,'COUT MOYEN'!$B$1:$E$71,4,0)</f>
        <v>0.80500000000000005</v>
      </c>
      <c r="L91" s="108">
        <f t="shared" si="7"/>
        <v>1799.7465500000001</v>
      </c>
      <c r="M91" s="108"/>
      <c r="N91" s="63" t="str">
        <f t="shared" si="5"/>
        <v>Engleyse Bousquet</v>
      </c>
      <c r="O91" s="172">
        <f>SUMPRODUCT(--(PARCELLAIRE!H$2:H$58=UTILISATIONS!N91))</f>
        <v>0</v>
      </c>
    </row>
    <row r="92" spans="1:15">
      <c r="A92" s="105">
        <v>2013</v>
      </c>
      <c r="B92" s="105" t="str">
        <f>INDEX(PARCELLAIRE!$B$2:$B$29,MATCH(UTILISATIONS!C92,PARCELLAIRE!$D$2:$D$29,0))</f>
        <v>SORGHO</v>
      </c>
      <c r="C92" s="105" t="s">
        <v>149</v>
      </c>
      <c r="D92" s="106">
        <v>41228</v>
      </c>
      <c r="E92" s="105" t="s">
        <v>16</v>
      </c>
      <c r="F92" s="105" t="s">
        <v>69</v>
      </c>
      <c r="G92" s="105" t="str">
        <f>VLOOKUP(E92,ACHATS!$C:$D,2,0)</f>
        <v>DESHERBANT</v>
      </c>
      <c r="H92" s="105">
        <v>1</v>
      </c>
      <c r="I92" s="107">
        <f>VLOOKUP(C92,PARCELLAIRE!$D$2:$F$29,3,0)</f>
        <v>10.93</v>
      </c>
      <c r="J92" s="107">
        <f t="shared" si="4"/>
        <v>10.93</v>
      </c>
      <c r="K92" s="107">
        <f>VLOOKUP(E92,'COUT MOYEN'!$B$1:$E$71,4,0)</f>
        <v>4.9381521739130436</v>
      </c>
      <c r="L92" s="108">
        <f t="shared" si="7"/>
        <v>53.974003260869566</v>
      </c>
      <c r="M92" s="108"/>
      <c r="N92" s="63" t="str">
        <f t="shared" si="5"/>
        <v>Engleyse métairie</v>
      </c>
      <c r="O92" s="172">
        <f>SUMPRODUCT(--(PARCELLAIRE!H$2:H$58=UTILISATIONS!N92))</f>
        <v>0</v>
      </c>
    </row>
    <row r="93" spans="1:15">
      <c r="A93" s="105">
        <v>2013</v>
      </c>
      <c r="B93" s="105" t="str">
        <f>INDEX(PARCELLAIRE!$B$2:$B$29,MATCH(UTILISATIONS!C93,PARCELLAIRE!$D$2:$D$29,0))</f>
        <v>TOURNESOL</v>
      </c>
      <c r="C93" s="105" t="s">
        <v>164</v>
      </c>
      <c r="D93" s="106">
        <v>41228</v>
      </c>
      <c r="E93" s="105" t="s">
        <v>25</v>
      </c>
      <c r="F93" s="105" t="s">
        <v>69</v>
      </c>
      <c r="G93" s="105" t="str">
        <f>VLOOKUP(E93,ACHATS!$C:$D,2,0)</f>
        <v>DIVERS</v>
      </c>
      <c r="H93" s="105">
        <v>0.2</v>
      </c>
      <c r="I93" s="107">
        <f>VLOOKUP(C93,PARCELLAIRE!$D$2:$F$29,3,0)</f>
        <v>21.88</v>
      </c>
      <c r="J93" s="107">
        <f t="shared" si="4"/>
        <v>4.3760000000000003</v>
      </c>
      <c r="K93" s="107">
        <f>VLOOKUP(E93,'COUT MOYEN'!$B$1:$E$71,4,0)</f>
        <v>11.01</v>
      </c>
      <c r="L93" s="108">
        <f t="shared" si="7"/>
        <v>48.179760000000002</v>
      </c>
      <c r="M93" s="108"/>
      <c r="N93" s="63" t="str">
        <f t="shared" si="5"/>
        <v>Moulin Barthes</v>
      </c>
      <c r="O93" s="172">
        <f>SUMPRODUCT(--(PARCELLAIRE!H$2:H$58=UTILISATIONS!N93))</f>
        <v>0</v>
      </c>
    </row>
    <row r="94" spans="1:15">
      <c r="A94" s="105">
        <v>2013</v>
      </c>
      <c r="B94" s="105" t="str">
        <f>INDEX(PARCELLAIRE!$B$2:$B$29,MATCH(UTILISATIONS!C94,PARCELLAIRE!$D$2:$D$29,0))</f>
        <v>SORGHO</v>
      </c>
      <c r="C94" s="105" t="s">
        <v>149</v>
      </c>
      <c r="D94" s="106">
        <v>41228</v>
      </c>
      <c r="E94" s="105" t="s">
        <v>25</v>
      </c>
      <c r="F94" s="105" t="s">
        <v>69</v>
      </c>
      <c r="G94" s="105" t="str">
        <f>VLOOKUP(E94,ACHATS!$C:$D,2,0)</f>
        <v>DIVERS</v>
      </c>
      <c r="H94" s="105">
        <v>0.2</v>
      </c>
      <c r="I94" s="107">
        <f>VLOOKUP(C94,PARCELLAIRE!$D$2:$F$29,3,0)</f>
        <v>10.93</v>
      </c>
      <c r="J94" s="107">
        <f t="shared" si="4"/>
        <v>2.1859999999999999</v>
      </c>
      <c r="K94" s="107">
        <f>VLOOKUP(E94,'COUT MOYEN'!$B$1:$E$71,4,0)</f>
        <v>11.01</v>
      </c>
      <c r="L94" s="108">
        <f t="shared" si="7"/>
        <v>24.06786</v>
      </c>
      <c r="M94" s="108"/>
      <c r="N94" s="63" t="str">
        <f t="shared" si="5"/>
        <v>Engleyse métairie</v>
      </c>
      <c r="O94" s="172">
        <f>SUMPRODUCT(--(PARCELLAIRE!H$2:H$58=UTILISATIONS!N94))</f>
        <v>0</v>
      </c>
    </row>
    <row r="95" spans="1:15">
      <c r="A95" s="105">
        <v>2013</v>
      </c>
      <c r="B95" s="105" t="str">
        <f>INDEX(PARCELLAIRE!$B$2:$B$29,MATCH(UTILISATIONS!C95,PARCELLAIRE!$D$2:$D$29,0))</f>
        <v>BLE TENDRE</v>
      </c>
      <c r="C95" s="105" t="s">
        <v>160</v>
      </c>
      <c r="D95" s="106">
        <v>41262</v>
      </c>
      <c r="E95" s="105" t="s">
        <v>17</v>
      </c>
      <c r="F95" s="105" t="s">
        <v>69</v>
      </c>
      <c r="G95" s="105" t="str">
        <f>VLOOKUP(E95,ACHATS!$C:$D,2,0)</f>
        <v>DESHERBANT</v>
      </c>
      <c r="H95" s="105">
        <v>3</v>
      </c>
      <c r="I95" s="107">
        <f>VLOOKUP(C95,PARCELLAIRE!$D$2:$F$29,3,0)</f>
        <v>17.55</v>
      </c>
      <c r="J95" s="107">
        <f t="shared" si="4"/>
        <v>52.650000000000006</v>
      </c>
      <c r="K95" s="107">
        <f>VLOOKUP(E95,'COUT MOYEN'!$B$1:$E$71,4,0)</f>
        <v>13.75</v>
      </c>
      <c r="L95" s="108">
        <f t="shared" si="7"/>
        <v>723.93750000000011</v>
      </c>
      <c r="M95" s="108"/>
      <c r="N95" s="63" t="str">
        <f t="shared" si="5"/>
        <v>Labaou Plaine</v>
      </c>
      <c r="O95" s="172">
        <f>SUMPRODUCT(--(PARCELLAIRE!H$2:H$58=UTILISATIONS!N95))</f>
        <v>1</v>
      </c>
    </row>
    <row r="96" spans="1:15">
      <c r="A96" s="105">
        <v>2013</v>
      </c>
      <c r="B96" s="105" t="str">
        <f>INDEX(PARCELLAIRE!$B$2:$B$29,MATCH(UTILISATIONS!C96,PARCELLAIRE!$D$2:$D$29,0))</f>
        <v xml:space="preserve">BLE DUR </v>
      </c>
      <c r="C96" s="105" t="s">
        <v>161</v>
      </c>
      <c r="D96" s="106">
        <v>41263</v>
      </c>
      <c r="E96" s="105" t="s">
        <v>17</v>
      </c>
      <c r="F96" s="105" t="s">
        <v>69</v>
      </c>
      <c r="G96" s="105" t="str">
        <f>VLOOKUP(E96,ACHATS!$C:$D,2,0)</f>
        <v>DESHERBANT</v>
      </c>
      <c r="H96" s="105">
        <v>2.5</v>
      </c>
      <c r="I96" s="107">
        <f>VLOOKUP(C96,PARCELLAIRE!$D$2:$F$29,3,0)</f>
        <v>5.07</v>
      </c>
      <c r="J96" s="107">
        <f t="shared" si="4"/>
        <v>12.675000000000001</v>
      </c>
      <c r="K96" s="107">
        <f>VLOOKUP(E96,'COUT MOYEN'!$B$1:$E$71,4,0)</f>
        <v>13.75</v>
      </c>
      <c r="L96" s="108">
        <f t="shared" si="7"/>
        <v>174.28125</v>
      </c>
      <c r="M96" s="108"/>
      <c r="N96" s="63" t="str">
        <f t="shared" si="5"/>
        <v>Laclos</v>
      </c>
      <c r="O96" s="172">
        <f>SUMPRODUCT(--(PARCELLAIRE!H$2:H$58=UTILISATIONS!N96))</f>
        <v>0</v>
      </c>
    </row>
    <row r="97" spans="1:15">
      <c r="A97" s="105">
        <v>2013</v>
      </c>
      <c r="B97" s="105" t="str">
        <f>INDEX(PARCELLAIRE!$B$2:$B$29,MATCH(UTILISATIONS!C97,PARCELLAIRE!$D$2:$D$29,0))</f>
        <v xml:space="preserve">BLE DUR </v>
      </c>
      <c r="C97" s="105" t="s">
        <v>170</v>
      </c>
      <c r="D97" s="106">
        <v>41263</v>
      </c>
      <c r="E97" s="105" t="s">
        <v>17</v>
      </c>
      <c r="F97" s="105" t="s">
        <v>69</v>
      </c>
      <c r="G97" s="105" t="str">
        <f>VLOOKUP(E97,ACHATS!$C:$D,2,0)</f>
        <v>DESHERBANT</v>
      </c>
      <c r="H97" s="105">
        <v>2.5</v>
      </c>
      <c r="I97" s="107">
        <f>VLOOKUP(C97,PARCELLAIRE!$D$2:$F$29,3,0)</f>
        <v>1.26</v>
      </c>
      <c r="J97" s="107">
        <f t="shared" si="4"/>
        <v>3.15</v>
      </c>
      <c r="K97" s="107">
        <f>VLOOKUP(E97,'COUT MOYEN'!$B$1:$E$71,4,0)</f>
        <v>13.75</v>
      </c>
      <c r="L97" s="108">
        <f t="shared" si="7"/>
        <v>43.3125</v>
      </c>
      <c r="M97" s="108"/>
      <c r="N97" s="63" t="str">
        <f t="shared" si="5"/>
        <v>Seillonne</v>
      </c>
      <c r="O97" s="172">
        <f>SUMPRODUCT(--(PARCELLAIRE!H$2:H$58=UTILISATIONS!N97))</f>
        <v>0</v>
      </c>
    </row>
    <row r="98" spans="1:15">
      <c r="A98" s="110">
        <v>2013</v>
      </c>
      <c r="B98" s="105" t="str">
        <f>INDEX(PARCELLAIRE!$B$2:$B$29,MATCH(UTILISATIONS!C98,PARCELLAIRE!$D$2:$D$29,0))</f>
        <v xml:space="preserve">BLE DUR </v>
      </c>
      <c r="C98" s="110" t="s">
        <v>152</v>
      </c>
      <c r="D98" s="109">
        <v>41310</v>
      </c>
      <c r="E98" s="110" t="s">
        <v>72</v>
      </c>
      <c r="F98" s="110" t="s">
        <v>69</v>
      </c>
      <c r="G98" s="105" t="str">
        <f>VLOOKUP(E98,ACHATS!$C:$D,2,0)</f>
        <v>FONGICIDES</v>
      </c>
      <c r="H98" s="111">
        <v>0.3</v>
      </c>
      <c r="I98" s="107">
        <f>VLOOKUP(C98,PARCELLAIRE!$D$2:$F$29,3,0)</f>
        <v>1.34</v>
      </c>
      <c r="J98" s="107">
        <f t="shared" si="4"/>
        <v>0.40200000000000002</v>
      </c>
      <c r="K98" s="107">
        <f>VLOOKUP(E98,'COUT MOYEN'!$B$1:$E$71,4,0)</f>
        <v>37</v>
      </c>
      <c r="L98" s="112">
        <v>83.25</v>
      </c>
      <c r="M98" s="112"/>
      <c r="N98" s="63" t="str">
        <f t="shared" si="5"/>
        <v>Escarcelou Jachère</v>
      </c>
      <c r="O98" s="172">
        <f>SUMPRODUCT(--(PARCELLAIRE!H$2:H$58=UTILISATIONS!N98))</f>
        <v>0</v>
      </c>
    </row>
    <row r="99" spans="1:15">
      <c r="A99" s="110">
        <v>2013</v>
      </c>
      <c r="B99" s="105" t="str">
        <f>INDEX(PARCELLAIRE!$B$2:$B$29,MATCH(UTILISATIONS!C99,PARCELLAIRE!$D$2:$D$29,0))</f>
        <v xml:space="preserve">BLE DUR </v>
      </c>
      <c r="C99" s="110" t="s">
        <v>152</v>
      </c>
      <c r="D99" s="109">
        <v>41310</v>
      </c>
      <c r="E99" s="110" t="s">
        <v>35</v>
      </c>
      <c r="F99" s="110" t="s">
        <v>69</v>
      </c>
      <c r="G99" s="105" t="str">
        <f>VLOOKUP(E99,ACHATS!$C:$D,2,0)</f>
        <v>FONGICIDES</v>
      </c>
      <c r="H99" s="111">
        <v>1</v>
      </c>
      <c r="I99" s="107">
        <f>VLOOKUP(C99,PARCELLAIRE!$D$2:$F$29,3,0)</f>
        <v>1.34</v>
      </c>
      <c r="J99" s="107">
        <f t="shared" si="4"/>
        <v>1.34</v>
      </c>
      <c r="K99" s="107">
        <f>VLOOKUP(E99,'COUT MOYEN'!$B$1:$E$71,4,0)</f>
        <v>14.4</v>
      </c>
      <c r="L99" s="112">
        <v>108</v>
      </c>
      <c r="M99" s="112"/>
      <c r="N99" s="63" t="str">
        <f t="shared" si="5"/>
        <v>Escarcelou Jachère</v>
      </c>
      <c r="O99" s="172">
        <f>SUMPRODUCT(--(PARCELLAIRE!H$2:H$58=UTILISATIONS!N99))</f>
        <v>0</v>
      </c>
    </row>
    <row r="100" spans="1:15">
      <c r="A100" s="105">
        <v>2013</v>
      </c>
      <c r="B100" s="105" t="str">
        <f>INDEX(PARCELLAIRE!$B$2:$B$29,MATCH(UTILISATIONS!C100,PARCELLAIRE!$D$2:$D$29,0))</f>
        <v xml:space="preserve">BLE DUR </v>
      </c>
      <c r="C100" s="105" t="s">
        <v>147</v>
      </c>
      <c r="D100" s="106">
        <v>41324</v>
      </c>
      <c r="E100" s="105" t="s">
        <v>14</v>
      </c>
      <c r="F100" s="105" t="s">
        <v>68</v>
      </c>
      <c r="G100" s="105" t="str">
        <f>VLOOKUP(E100,ACHATS!$C:$D,2,0)</f>
        <v>ENGRAIS</v>
      </c>
      <c r="H100" s="105">
        <v>150</v>
      </c>
      <c r="I100" s="107">
        <f>VLOOKUP(C100,PARCELLAIRE!$D$2:$F$29,3,0)</f>
        <v>5.67</v>
      </c>
      <c r="J100" s="107">
        <f t="shared" si="4"/>
        <v>850.5</v>
      </c>
      <c r="K100" s="107">
        <f>VLOOKUP(E100,'COUT MOYEN'!$B$1:$E$71,4,0)</f>
        <v>0.41883673469387755</v>
      </c>
      <c r="L100" s="108">
        <f t="shared" ref="L100:L110" si="8">K100*J100</f>
        <v>356.22064285714288</v>
      </c>
      <c r="M100" s="108"/>
      <c r="N100" s="63" t="str">
        <f t="shared" si="5"/>
        <v>Bousquet Route</v>
      </c>
      <c r="O100" s="172">
        <f>SUMPRODUCT(--(PARCELLAIRE!H$2:H$58=UTILISATIONS!N100))</f>
        <v>0</v>
      </c>
    </row>
    <row r="101" spans="1:15">
      <c r="A101" s="105">
        <v>2013</v>
      </c>
      <c r="B101" s="105" t="str">
        <f>INDEX(PARCELLAIRE!$B$2:$B$29,MATCH(UTILISATIONS!C101,PARCELLAIRE!$D$2:$D$29,0))</f>
        <v xml:space="preserve">BLE DUR </v>
      </c>
      <c r="C101" s="105" t="s">
        <v>144</v>
      </c>
      <c r="D101" s="106">
        <v>41324</v>
      </c>
      <c r="E101" s="105" t="s">
        <v>14</v>
      </c>
      <c r="F101" s="105" t="s">
        <v>68</v>
      </c>
      <c r="G101" s="105" t="str">
        <f>VLOOKUP(E101,ACHATS!$C:$D,2,0)</f>
        <v>ENGRAIS</v>
      </c>
      <c r="H101" s="105">
        <v>150</v>
      </c>
      <c r="I101" s="107">
        <f>VLOOKUP(C101,PARCELLAIRE!$D$2:$F$29,3,0)</f>
        <v>5.27</v>
      </c>
      <c r="J101" s="107">
        <f t="shared" si="4"/>
        <v>790.49999999999989</v>
      </c>
      <c r="K101" s="107">
        <f>VLOOKUP(E101,'COUT MOYEN'!$B$1:$E$71,4,0)</f>
        <v>0.41883673469387755</v>
      </c>
      <c r="L101" s="108">
        <f t="shared" si="8"/>
        <v>331.09043877551017</v>
      </c>
      <c r="M101" s="108"/>
      <c r="N101" s="63" t="str">
        <f t="shared" si="5"/>
        <v>Bousquet Château</v>
      </c>
      <c r="O101" s="172">
        <f>SUMPRODUCT(--(PARCELLAIRE!H$2:H$58=UTILISATIONS!N101))</f>
        <v>0</v>
      </c>
    </row>
    <row r="102" spans="1:15">
      <c r="A102" s="105">
        <v>2013</v>
      </c>
      <c r="B102" s="105" t="str">
        <f>INDEX(PARCELLAIRE!$B$2:$B$29,MATCH(UTILISATIONS!C102,PARCELLAIRE!$D$2:$D$29,0))</f>
        <v xml:space="preserve">BLE DUR </v>
      </c>
      <c r="C102" s="105" t="s">
        <v>170</v>
      </c>
      <c r="D102" s="106">
        <v>41324</v>
      </c>
      <c r="E102" s="105" t="s">
        <v>14</v>
      </c>
      <c r="F102" s="105" t="s">
        <v>68</v>
      </c>
      <c r="G102" s="105" t="str">
        <f>VLOOKUP(E102,ACHATS!$C:$D,2,0)</f>
        <v>ENGRAIS</v>
      </c>
      <c r="H102" s="105">
        <v>150</v>
      </c>
      <c r="I102" s="107">
        <f>VLOOKUP(C102,PARCELLAIRE!$D$2:$F$29,3,0)</f>
        <v>1.26</v>
      </c>
      <c r="J102" s="107">
        <f t="shared" si="4"/>
        <v>189</v>
      </c>
      <c r="K102" s="107">
        <f>VLOOKUP(E102,'COUT MOYEN'!$B$1:$E$71,4,0)</f>
        <v>0.41883673469387755</v>
      </c>
      <c r="L102" s="108">
        <f t="shared" si="8"/>
        <v>79.160142857142858</v>
      </c>
      <c r="M102" s="108"/>
      <c r="N102" s="63" t="str">
        <f t="shared" si="5"/>
        <v>Seillonne</v>
      </c>
      <c r="O102" s="172">
        <f>SUMPRODUCT(--(PARCELLAIRE!H$2:H$58=UTILISATIONS!N102))</f>
        <v>0</v>
      </c>
    </row>
    <row r="103" spans="1:15">
      <c r="A103" s="105">
        <v>2013</v>
      </c>
      <c r="B103" s="105" t="str">
        <f>INDEX(PARCELLAIRE!$B$2:$B$29,MATCH(UTILISATIONS!C103,PARCELLAIRE!$D$2:$D$29,0))</f>
        <v xml:space="preserve">BLE DUR </v>
      </c>
      <c r="C103" s="105" t="s">
        <v>161</v>
      </c>
      <c r="D103" s="106">
        <v>41324</v>
      </c>
      <c r="E103" s="105" t="s">
        <v>14</v>
      </c>
      <c r="F103" s="105" t="s">
        <v>68</v>
      </c>
      <c r="G103" s="105" t="str">
        <f>VLOOKUP(E103,ACHATS!$C:$D,2,0)</f>
        <v>ENGRAIS</v>
      </c>
      <c r="H103" s="105">
        <v>150</v>
      </c>
      <c r="I103" s="107">
        <f>VLOOKUP(C103,PARCELLAIRE!$D$2:$F$29,3,0)</f>
        <v>5.07</v>
      </c>
      <c r="J103" s="107">
        <f t="shared" si="4"/>
        <v>760.5</v>
      </c>
      <c r="K103" s="107">
        <f>VLOOKUP(E103,'COUT MOYEN'!$B$1:$E$71,4,0)</f>
        <v>0.41883673469387755</v>
      </c>
      <c r="L103" s="108">
        <f t="shared" si="8"/>
        <v>318.52533673469389</v>
      </c>
      <c r="M103" s="108"/>
      <c r="N103" s="63" t="str">
        <f t="shared" si="5"/>
        <v>Laclos</v>
      </c>
      <c r="O103" s="172">
        <f>SUMPRODUCT(--(PARCELLAIRE!H$2:H$58=UTILISATIONS!N103))</f>
        <v>0</v>
      </c>
    </row>
    <row r="104" spans="1:15">
      <c r="A104" s="105">
        <v>2013</v>
      </c>
      <c r="B104" s="105" t="str">
        <f>INDEX(PARCELLAIRE!$B$2:$B$29,MATCH(UTILISATIONS!C104,PARCELLAIRE!$D$2:$D$29,0))</f>
        <v>BLE TENDRE</v>
      </c>
      <c r="C104" s="105" t="s">
        <v>160</v>
      </c>
      <c r="D104" s="106">
        <v>41324</v>
      </c>
      <c r="E104" s="105" t="s">
        <v>14</v>
      </c>
      <c r="F104" s="105" t="s">
        <v>68</v>
      </c>
      <c r="G104" s="105" t="str">
        <f>VLOOKUP(E104,ACHATS!$C:$D,2,0)</f>
        <v>ENGRAIS</v>
      </c>
      <c r="H104" s="105">
        <v>150</v>
      </c>
      <c r="I104" s="107">
        <f>VLOOKUP(C104,PARCELLAIRE!$D$2:$F$29,3,0)</f>
        <v>17.55</v>
      </c>
      <c r="J104" s="107">
        <f t="shared" si="4"/>
        <v>2632.5</v>
      </c>
      <c r="K104" s="107">
        <f>VLOOKUP(E104,'COUT MOYEN'!$B$1:$E$71,4,0)</f>
        <v>0.41883673469387755</v>
      </c>
      <c r="L104" s="108">
        <f t="shared" si="8"/>
        <v>1102.5877040816326</v>
      </c>
      <c r="M104" s="108"/>
      <c r="N104" s="63" t="str">
        <f t="shared" si="5"/>
        <v>Labaou Plaine</v>
      </c>
      <c r="O104" s="172">
        <f>SUMPRODUCT(--(PARCELLAIRE!H$2:H$58=UTILISATIONS!N104))</f>
        <v>1</v>
      </c>
    </row>
    <row r="105" spans="1:15">
      <c r="A105" s="105">
        <v>2013</v>
      </c>
      <c r="B105" s="105" t="str">
        <f>INDEX(PARCELLAIRE!$B$2:$B$29,MATCH(UTILISATIONS!C105,PARCELLAIRE!$D$2:$D$29,0))</f>
        <v xml:space="preserve">BLE DUR </v>
      </c>
      <c r="C105" s="105" t="s">
        <v>172</v>
      </c>
      <c r="D105" s="106">
        <v>41325</v>
      </c>
      <c r="E105" s="105" t="s">
        <v>14</v>
      </c>
      <c r="F105" s="105" t="s">
        <v>68</v>
      </c>
      <c r="G105" s="105" t="str">
        <f>VLOOKUP(E105,ACHATS!$C:$D,2,0)</f>
        <v>ENGRAIS</v>
      </c>
      <c r="H105" s="105">
        <v>150</v>
      </c>
      <c r="I105" s="107">
        <f>VLOOKUP(C105,PARCELLAIRE!$D$2:$F$29,3,0)</f>
        <v>16.440000000000001</v>
      </c>
      <c r="J105" s="107">
        <f t="shared" si="4"/>
        <v>2466</v>
      </c>
      <c r="K105" s="107">
        <f>VLOOKUP(E105,'COUT MOYEN'!$B$1:$E$71,4,0)</f>
        <v>0.41883673469387755</v>
      </c>
      <c r="L105" s="108">
        <f t="shared" si="8"/>
        <v>1032.851387755102</v>
      </c>
      <c r="M105" s="108"/>
      <c r="N105" s="63" t="str">
        <f t="shared" si="5"/>
        <v>Lescandes Côteau</v>
      </c>
      <c r="O105" s="172">
        <f>SUMPRODUCT(--(PARCELLAIRE!H$2:H$58=UTILISATIONS!N105))</f>
        <v>0</v>
      </c>
    </row>
    <row r="106" spans="1:15">
      <c r="A106" s="105">
        <v>2013</v>
      </c>
      <c r="B106" s="105" t="str">
        <f>INDEX(PARCELLAIRE!$B$2:$B$29,MATCH(UTILISATIONS!C106,PARCELLAIRE!$D$2:$D$29,0))</f>
        <v xml:space="preserve">BLE DUR </v>
      </c>
      <c r="C106" s="105" t="s">
        <v>162</v>
      </c>
      <c r="D106" s="106">
        <v>41325</v>
      </c>
      <c r="E106" s="105" t="s">
        <v>14</v>
      </c>
      <c r="F106" s="105" t="s">
        <v>68</v>
      </c>
      <c r="G106" s="105" t="str">
        <f>VLOOKUP(E106,ACHATS!$C:$D,2,0)</f>
        <v>ENGRAIS</v>
      </c>
      <c r="H106" s="105">
        <v>150</v>
      </c>
      <c r="I106" s="107">
        <f>VLOOKUP(C106,PARCELLAIRE!$D$2:$F$29,3,0)</f>
        <v>2.67</v>
      </c>
      <c r="J106" s="107">
        <f t="shared" si="4"/>
        <v>400.5</v>
      </c>
      <c r="K106" s="107">
        <f>VLOOKUP(E106,'COUT MOYEN'!$B$1:$E$71,4,0)</f>
        <v>0.41883673469387755</v>
      </c>
      <c r="L106" s="108">
        <f t="shared" si="8"/>
        <v>167.74411224489796</v>
      </c>
      <c r="M106" s="108"/>
      <c r="N106" s="63" t="str">
        <f t="shared" si="5"/>
        <v>Lescandes</v>
      </c>
      <c r="O106" s="172">
        <f>SUMPRODUCT(--(PARCELLAIRE!H$2:H$58=UTILISATIONS!N106))</f>
        <v>0</v>
      </c>
    </row>
    <row r="107" spans="1:15">
      <c r="A107" s="105">
        <v>2013</v>
      </c>
      <c r="B107" s="105" t="str">
        <f>INDEX(PARCELLAIRE!$B$2:$B$29,MATCH(UTILISATIONS!C107,PARCELLAIRE!$D$2:$D$29,0))</f>
        <v xml:space="preserve">BLE DUR </v>
      </c>
      <c r="C107" s="105" t="s">
        <v>151</v>
      </c>
      <c r="D107" s="106">
        <v>41325</v>
      </c>
      <c r="E107" s="105" t="s">
        <v>14</v>
      </c>
      <c r="F107" s="105" t="s">
        <v>68</v>
      </c>
      <c r="G107" s="105" t="str">
        <f>VLOOKUP(E107,ACHATS!$C:$D,2,0)</f>
        <v>ENGRAIS</v>
      </c>
      <c r="H107" s="105">
        <v>150</v>
      </c>
      <c r="I107" s="107">
        <f>VLOOKUP(C107,PARCELLAIRE!$D$2:$F$29,3,0)</f>
        <v>7.58</v>
      </c>
      <c r="J107" s="107">
        <f t="shared" si="4"/>
        <v>1137</v>
      </c>
      <c r="K107" s="107">
        <f>VLOOKUP(E107,'COUT MOYEN'!$B$1:$E$71,4,0)</f>
        <v>0.41883673469387755</v>
      </c>
      <c r="L107" s="108">
        <f t="shared" si="8"/>
        <v>476.21736734693877</v>
      </c>
      <c r="M107" s="108"/>
      <c r="N107" s="63" t="str">
        <f t="shared" si="5"/>
        <v>Escarcelou</v>
      </c>
      <c r="O107" s="172">
        <f>SUMPRODUCT(--(PARCELLAIRE!H$2:H$58=UTILISATIONS!N107))</f>
        <v>0</v>
      </c>
    </row>
    <row r="108" spans="1:15">
      <c r="A108" s="105">
        <v>2013</v>
      </c>
      <c r="B108" s="105" t="str">
        <f>INDEX(PARCELLAIRE!$B$2:$B$29,MATCH(UTILISATIONS!C108,PARCELLAIRE!$D$2:$D$29,0))</f>
        <v xml:space="preserve">BLE DUR </v>
      </c>
      <c r="C108" s="105" t="s">
        <v>176</v>
      </c>
      <c r="D108" s="106">
        <v>41325</v>
      </c>
      <c r="E108" s="105" t="s">
        <v>14</v>
      </c>
      <c r="F108" s="105" t="s">
        <v>68</v>
      </c>
      <c r="G108" s="105" t="str">
        <f>VLOOKUP(E108,ACHATS!$C:$D,2,0)</f>
        <v>ENGRAIS</v>
      </c>
      <c r="H108" s="105">
        <v>150</v>
      </c>
      <c r="I108" s="107">
        <f>VLOOKUP(C108,PARCELLAIRE!$D$2:$F$29,3,0)</f>
        <v>11.9</v>
      </c>
      <c r="J108" s="107">
        <f t="shared" si="4"/>
        <v>1785</v>
      </c>
      <c r="K108" s="107">
        <f>VLOOKUP(E108,'COUT MOYEN'!$B$1:$E$71,4,0)</f>
        <v>0.41883673469387755</v>
      </c>
      <c r="L108" s="108">
        <f t="shared" si="8"/>
        <v>747.62357142857138</v>
      </c>
      <c r="M108" s="108"/>
      <c r="N108" s="63" t="str">
        <f t="shared" si="5"/>
        <v>Labaou Devant</v>
      </c>
      <c r="O108" s="172">
        <f>SUMPRODUCT(--(PARCELLAIRE!H$2:H$58=UTILISATIONS!N108))</f>
        <v>0</v>
      </c>
    </row>
    <row r="109" spans="1:15">
      <c r="A109" s="105">
        <v>2013</v>
      </c>
      <c r="B109" s="105" t="str">
        <f>INDEX(PARCELLAIRE!$B$2:$B$29,MATCH(UTILISATIONS!C109,PARCELLAIRE!$D$2:$D$29,0))</f>
        <v xml:space="preserve">BLE DUR </v>
      </c>
      <c r="C109" s="105" t="s">
        <v>153</v>
      </c>
      <c r="D109" s="106">
        <v>41325</v>
      </c>
      <c r="E109" s="105" t="s">
        <v>14</v>
      </c>
      <c r="F109" s="105" t="s">
        <v>68</v>
      </c>
      <c r="G109" s="105" t="str">
        <f>VLOOKUP(E109,ACHATS!$C:$D,2,0)</f>
        <v>ENGRAIS</v>
      </c>
      <c r="H109" s="105">
        <v>150</v>
      </c>
      <c r="I109" s="107">
        <f>VLOOKUP(C109,PARCELLAIRE!$D$2:$F$29,3,0)</f>
        <v>7.5</v>
      </c>
      <c r="J109" s="107">
        <f t="shared" si="4"/>
        <v>1125</v>
      </c>
      <c r="K109" s="107">
        <f>VLOOKUP(E109,'COUT MOYEN'!$B$1:$E$71,4,0)</f>
        <v>0.41883673469387755</v>
      </c>
      <c r="L109" s="108">
        <f t="shared" si="8"/>
        <v>471.19132653061223</v>
      </c>
      <c r="M109" s="108"/>
      <c r="N109" s="63" t="str">
        <f t="shared" si="5"/>
        <v>Escarcelou Pte</v>
      </c>
      <c r="O109" s="172">
        <f>SUMPRODUCT(--(PARCELLAIRE!H$2:H$58=UTILISATIONS!N109))</f>
        <v>0</v>
      </c>
    </row>
    <row r="110" spans="1:15">
      <c r="A110" s="105">
        <v>2013</v>
      </c>
      <c r="B110" s="105" t="str">
        <f>INDEX(PARCELLAIRE!$B$2:$B$29,MATCH(UTILISATIONS!C110,PARCELLAIRE!$D$2:$D$29,0))</f>
        <v xml:space="preserve">BLE DUR </v>
      </c>
      <c r="C110" s="105" t="s">
        <v>174</v>
      </c>
      <c r="D110" s="106">
        <v>41325</v>
      </c>
      <c r="E110" s="105" t="s">
        <v>14</v>
      </c>
      <c r="F110" s="105" t="s">
        <v>68</v>
      </c>
      <c r="G110" s="105" t="str">
        <f>VLOOKUP(E110,ACHATS!$C:$D,2,0)</f>
        <v>ENGRAIS</v>
      </c>
      <c r="H110" s="105">
        <v>150</v>
      </c>
      <c r="I110" s="107">
        <f>VLOOKUP(C110,PARCELLAIRE!$D$2:$F$29,3,0)</f>
        <v>12.49</v>
      </c>
      <c r="J110" s="107">
        <f t="shared" si="4"/>
        <v>1873.5</v>
      </c>
      <c r="K110" s="107">
        <f>VLOOKUP(E110,'COUT MOYEN'!$B$1:$E$71,4,0)</f>
        <v>0.41883673469387755</v>
      </c>
      <c r="L110" s="108">
        <f t="shared" si="8"/>
        <v>784.69062244897964</v>
      </c>
      <c r="M110" s="108"/>
      <c r="N110" s="63" t="str">
        <f t="shared" si="5"/>
        <v>Engleyse Bousquet</v>
      </c>
      <c r="O110" s="172">
        <f>SUMPRODUCT(--(PARCELLAIRE!H$2:H$58=UTILISATIONS!N110))</f>
        <v>0</v>
      </c>
    </row>
    <row r="111" spans="1:15">
      <c r="A111" s="110">
        <v>2013</v>
      </c>
      <c r="B111" s="105" t="str">
        <f>INDEX(PARCELLAIRE!$B$2:$B$29,MATCH(UTILISATIONS!C111,PARCELLAIRE!$D$2:$D$29,0))</f>
        <v xml:space="preserve">BLE DUR </v>
      </c>
      <c r="C111" s="110" t="s">
        <v>152</v>
      </c>
      <c r="D111" s="109">
        <v>41325</v>
      </c>
      <c r="E111" s="110" t="s">
        <v>14</v>
      </c>
      <c r="F111" s="110" t="s">
        <v>68</v>
      </c>
      <c r="G111" s="105" t="str">
        <f>VLOOKUP(E111,ACHATS!$C:$D,2,0)</f>
        <v>ENGRAIS</v>
      </c>
      <c r="H111" s="110">
        <v>150</v>
      </c>
      <c r="I111" s="107">
        <f>VLOOKUP(C111,PARCELLAIRE!$D$2:$F$29,3,0)</f>
        <v>1.34</v>
      </c>
      <c r="J111" s="107">
        <f t="shared" si="4"/>
        <v>201</v>
      </c>
      <c r="K111" s="107">
        <f>VLOOKUP(E111,'COUT MOYEN'!$B$1:$E$71,4,0)</f>
        <v>0.41883673469387755</v>
      </c>
      <c r="L111" s="112">
        <v>471.19</v>
      </c>
      <c r="M111" s="112"/>
      <c r="N111" s="63" t="str">
        <f t="shared" si="5"/>
        <v>Escarcelou Jachère</v>
      </c>
      <c r="O111" s="172">
        <f>SUMPRODUCT(--(PARCELLAIRE!H$2:H$58=UTILISATIONS!N111))</f>
        <v>0</v>
      </c>
    </row>
    <row r="112" spans="1:15">
      <c r="A112" s="105">
        <v>2013</v>
      </c>
      <c r="B112" s="105" t="str">
        <f>INDEX(PARCELLAIRE!$B$2:$B$29,MATCH(UTILISATIONS!C112,PARCELLAIRE!$D$2:$D$29,0))</f>
        <v>TOURNESOL</v>
      </c>
      <c r="C112" s="105" t="s">
        <v>168</v>
      </c>
      <c r="D112" s="106">
        <v>41326</v>
      </c>
      <c r="E112" s="105" t="s">
        <v>16</v>
      </c>
      <c r="F112" s="105" t="s">
        <v>69</v>
      </c>
      <c r="G112" s="105" t="str">
        <f>VLOOKUP(E112,ACHATS!$C:$D,2,0)</f>
        <v>DESHERBANT</v>
      </c>
      <c r="H112" s="105">
        <v>1.5</v>
      </c>
      <c r="I112" s="107">
        <f>VLOOKUP(C112,PARCELLAIRE!$D$2:$F$29,3,0)</f>
        <v>4.42</v>
      </c>
      <c r="J112" s="107">
        <f t="shared" si="4"/>
        <v>6.63</v>
      </c>
      <c r="K112" s="107">
        <f>VLOOKUP(E112,'COUT MOYEN'!$B$1:$E$71,4,0)</f>
        <v>4.9381521739130436</v>
      </c>
      <c r="L112" s="108">
        <f t="shared" ref="L112:L158" si="9">K112*J112</f>
        <v>32.739948913043477</v>
      </c>
      <c r="M112" s="108"/>
      <c r="N112" s="63" t="str">
        <f t="shared" si="5"/>
        <v>Picotalène Nord</v>
      </c>
      <c r="O112" s="172">
        <f>SUMPRODUCT(--(PARCELLAIRE!H$2:H$58=UTILISATIONS!N112))</f>
        <v>0</v>
      </c>
    </row>
    <row r="113" spans="1:15">
      <c r="A113" s="105">
        <v>2013</v>
      </c>
      <c r="B113" s="105" t="str">
        <f>INDEX(PARCELLAIRE!$B$2:$B$29,MATCH(UTILISATIONS!C113,PARCELLAIRE!$D$2:$D$29,0))</f>
        <v>TOURNESOL</v>
      </c>
      <c r="C113" s="105" t="s">
        <v>171</v>
      </c>
      <c r="D113" s="106">
        <v>41326</v>
      </c>
      <c r="E113" s="105" t="s">
        <v>16</v>
      </c>
      <c r="F113" s="105" t="s">
        <v>69</v>
      </c>
      <c r="G113" s="105" t="str">
        <f>VLOOKUP(E113,ACHATS!$C:$D,2,0)</f>
        <v>DESHERBANT</v>
      </c>
      <c r="H113" s="105">
        <v>1.5</v>
      </c>
      <c r="I113" s="107">
        <f>VLOOKUP(C113,PARCELLAIRE!$D$2:$F$29,3,0)</f>
        <v>4.12</v>
      </c>
      <c r="J113" s="107">
        <f t="shared" si="4"/>
        <v>6.18</v>
      </c>
      <c r="K113" s="107">
        <f>VLOOKUP(E113,'COUT MOYEN'!$B$1:$E$71,4,0)</f>
        <v>4.9381521739130436</v>
      </c>
      <c r="L113" s="108">
        <f t="shared" si="9"/>
        <v>30.517780434782608</v>
      </c>
      <c r="M113" s="108"/>
      <c r="N113" s="63" t="str">
        <f t="shared" si="5"/>
        <v>Picotalène Midi</v>
      </c>
      <c r="O113" s="172">
        <f>SUMPRODUCT(--(PARCELLAIRE!H$2:H$58=UTILISATIONS!N113))</f>
        <v>0</v>
      </c>
    </row>
    <row r="114" spans="1:15">
      <c r="A114" s="105">
        <v>2013</v>
      </c>
      <c r="B114" s="105" t="str">
        <f>INDEX(PARCELLAIRE!$B$2:$B$29,MATCH(UTILISATIONS!C114,PARCELLAIRE!$D$2:$D$29,0))</f>
        <v>TOURNESOL</v>
      </c>
      <c r="C114" s="105" t="s">
        <v>169</v>
      </c>
      <c r="D114" s="106">
        <v>41326</v>
      </c>
      <c r="E114" s="105" t="s">
        <v>16</v>
      </c>
      <c r="F114" s="105" t="s">
        <v>69</v>
      </c>
      <c r="G114" s="105" t="str">
        <f>VLOOKUP(E114,ACHATS!$C:$D,2,0)</f>
        <v>DESHERBANT</v>
      </c>
      <c r="H114" s="105">
        <v>1.5</v>
      </c>
      <c r="I114" s="107">
        <f>VLOOKUP(C114,PARCELLAIRE!$D$2:$F$29,3,0)</f>
        <v>12.06</v>
      </c>
      <c r="J114" s="107">
        <f t="shared" si="4"/>
        <v>18.09</v>
      </c>
      <c r="K114" s="107">
        <f>VLOOKUP(E114,'COUT MOYEN'!$B$1:$E$71,4,0)</f>
        <v>4.9381521739130436</v>
      </c>
      <c r="L114" s="108">
        <f t="shared" si="9"/>
        <v>89.331172826086956</v>
      </c>
      <c r="M114" s="108"/>
      <c r="N114" s="63" t="str">
        <f t="shared" si="5"/>
        <v>Pourtanel</v>
      </c>
      <c r="O114" s="172">
        <f>SUMPRODUCT(--(PARCELLAIRE!H$2:H$58=UTILISATIONS!N114))</f>
        <v>0</v>
      </c>
    </row>
    <row r="115" spans="1:15">
      <c r="A115" s="105">
        <v>2013</v>
      </c>
      <c r="B115" s="105" t="str">
        <f>INDEX(PARCELLAIRE!$B$2:$B$29,MATCH(UTILISATIONS!C115,PARCELLAIRE!$D$2:$D$29,0))</f>
        <v>TOURNESOL</v>
      </c>
      <c r="C115" s="105" t="s">
        <v>175</v>
      </c>
      <c r="D115" s="106">
        <v>41326</v>
      </c>
      <c r="E115" s="105" t="s">
        <v>16</v>
      </c>
      <c r="F115" s="105" t="s">
        <v>69</v>
      </c>
      <c r="G115" s="105" t="str">
        <f>VLOOKUP(E115,ACHATS!$C:$D,2,0)</f>
        <v>DESHERBANT</v>
      </c>
      <c r="H115" s="105">
        <v>1.5</v>
      </c>
      <c r="I115" s="107">
        <f>VLOOKUP(C115,PARCELLAIRE!$D$2:$F$29,3,0)</f>
        <v>2.33</v>
      </c>
      <c r="J115" s="107">
        <f t="shared" si="4"/>
        <v>3.4950000000000001</v>
      </c>
      <c r="K115" s="107">
        <f>VLOOKUP(E115,'COUT MOYEN'!$B$1:$E$71,4,0)</f>
        <v>4.9381521739130436</v>
      </c>
      <c r="L115" s="108">
        <f t="shared" si="9"/>
        <v>17.258841847826087</v>
      </c>
      <c r="M115" s="108"/>
      <c r="N115" s="63" t="str">
        <f t="shared" si="5"/>
        <v>Bousquet Pourtanel</v>
      </c>
      <c r="O115" s="172">
        <f>SUMPRODUCT(--(PARCELLAIRE!H$2:H$58=UTILISATIONS!N115))</f>
        <v>0</v>
      </c>
    </row>
    <row r="116" spans="1:15">
      <c r="A116" s="105">
        <v>2013</v>
      </c>
      <c r="B116" s="105" t="str">
        <f>INDEX(PARCELLAIRE!$B$2:$B$29,MATCH(UTILISATIONS!C116,PARCELLAIRE!$D$2:$D$29,0))</f>
        <v>SORGHO</v>
      </c>
      <c r="C116" s="105" t="s">
        <v>149</v>
      </c>
      <c r="D116" s="106">
        <v>41326</v>
      </c>
      <c r="E116" s="105" t="s">
        <v>16</v>
      </c>
      <c r="F116" s="105" t="s">
        <v>69</v>
      </c>
      <c r="G116" s="105" t="str">
        <f>VLOOKUP(E116,ACHATS!$C:$D,2,0)</f>
        <v>DESHERBANT</v>
      </c>
      <c r="H116" s="105">
        <v>1.5</v>
      </c>
      <c r="I116" s="107">
        <f>VLOOKUP(C116,PARCELLAIRE!$D$2:$F$29,3,0)</f>
        <v>10.93</v>
      </c>
      <c r="J116" s="107">
        <f t="shared" si="4"/>
        <v>16.395</v>
      </c>
      <c r="K116" s="107">
        <f>VLOOKUP(E116,'COUT MOYEN'!$B$1:$E$71,4,0)</f>
        <v>4.9381521739130436</v>
      </c>
      <c r="L116" s="108">
        <f t="shared" si="9"/>
        <v>80.961004891304341</v>
      </c>
      <c r="M116" s="108"/>
      <c r="N116" s="63" t="str">
        <f t="shared" si="5"/>
        <v>Engleyse métairie</v>
      </c>
      <c r="O116" s="172">
        <f>SUMPRODUCT(--(PARCELLAIRE!H$2:H$58=UTILISATIONS!N116))</f>
        <v>0</v>
      </c>
    </row>
    <row r="117" spans="1:15">
      <c r="A117" s="105">
        <v>2013</v>
      </c>
      <c r="B117" s="105" t="str">
        <f>INDEX(PARCELLAIRE!$B$2:$B$29,MATCH(UTILISATIONS!C117,PARCELLAIRE!$D$2:$D$29,0))</f>
        <v>TOURNESOL</v>
      </c>
      <c r="C117" s="105" t="s">
        <v>175</v>
      </c>
      <c r="D117" s="106">
        <v>41326</v>
      </c>
      <c r="E117" s="105" t="s">
        <v>25</v>
      </c>
      <c r="F117" s="105" t="s">
        <v>69</v>
      </c>
      <c r="G117" s="105" t="str">
        <f>VLOOKUP(E117,ACHATS!$C:$D,2,0)</f>
        <v>DIVERS</v>
      </c>
      <c r="H117" s="105">
        <v>0.2</v>
      </c>
      <c r="I117" s="107">
        <f>VLOOKUP(C117,PARCELLAIRE!$D$2:$F$29,3,0)</f>
        <v>2.33</v>
      </c>
      <c r="J117" s="107">
        <f t="shared" si="4"/>
        <v>0.46600000000000003</v>
      </c>
      <c r="K117" s="107">
        <f>VLOOKUP(E117,'COUT MOYEN'!$B$1:$E$71,4,0)</f>
        <v>11.01</v>
      </c>
      <c r="L117" s="108">
        <f t="shared" si="9"/>
        <v>5.1306599999999998</v>
      </c>
      <c r="M117" s="108"/>
      <c r="N117" s="63" t="str">
        <f t="shared" si="5"/>
        <v>Bousquet Pourtanel</v>
      </c>
      <c r="O117" s="172">
        <f>SUMPRODUCT(--(PARCELLAIRE!H$2:H$58=UTILISATIONS!N117))</f>
        <v>0</v>
      </c>
    </row>
    <row r="118" spans="1:15">
      <c r="A118" s="105">
        <v>2013</v>
      </c>
      <c r="B118" s="105" t="str">
        <f>INDEX(PARCELLAIRE!$B$2:$B$29,MATCH(UTILISATIONS!C118,PARCELLAIRE!$D$2:$D$29,0))</f>
        <v>TOURNESOL</v>
      </c>
      <c r="C118" s="105" t="s">
        <v>169</v>
      </c>
      <c r="D118" s="106">
        <v>41326</v>
      </c>
      <c r="E118" s="105" t="s">
        <v>25</v>
      </c>
      <c r="F118" s="105" t="s">
        <v>69</v>
      </c>
      <c r="G118" s="105" t="str">
        <f>VLOOKUP(E118,ACHATS!$C:$D,2,0)</f>
        <v>DIVERS</v>
      </c>
      <c r="H118" s="105">
        <v>0.2</v>
      </c>
      <c r="I118" s="107">
        <f>VLOOKUP(C118,PARCELLAIRE!$D$2:$F$29,3,0)</f>
        <v>12.06</v>
      </c>
      <c r="J118" s="107">
        <f t="shared" si="4"/>
        <v>2.4120000000000004</v>
      </c>
      <c r="K118" s="107">
        <f>VLOOKUP(E118,'COUT MOYEN'!$B$1:$E$71,4,0)</f>
        <v>11.01</v>
      </c>
      <c r="L118" s="108">
        <f t="shared" si="9"/>
        <v>26.556120000000004</v>
      </c>
      <c r="M118" s="108"/>
      <c r="N118" s="63" t="str">
        <f t="shared" si="5"/>
        <v>Pourtanel</v>
      </c>
      <c r="O118" s="172">
        <f>SUMPRODUCT(--(PARCELLAIRE!H$2:H$58=UTILISATIONS!N118))</f>
        <v>0</v>
      </c>
    </row>
    <row r="119" spans="1:15">
      <c r="A119" s="105">
        <v>2013</v>
      </c>
      <c r="B119" s="105" t="str">
        <f>INDEX(PARCELLAIRE!$B$2:$B$29,MATCH(UTILISATIONS!C119,PARCELLAIRE!$D$2:$D$29,0))</f>
        <v>TOURNESOL</v>
      </c>
      <c r="C119" s="105" t="s">
        <v>171</v>
      </c>
      <c r="D119" s="106">
        <v>41326</v>
      </c>
      <c r="E119" s="105" t="s">
        <v>25</v>
      </c>
      <c r="F119" s="105" t="s">
        <v>69</v>
      </c>
      <c r="G119" s="105" t="str">
        <f>VLOOKUP(E119,ACHATS!$C:$D,2,0)</f>
        <v>DIVERS</v>
      </c>
      <c r="H119" s="105">
        <v>0.2</v>
      </c>
      <c r="I119" s="107">
        <f>VLOOKUP(C119,PARCELLAIRE!$D$2:$F$29,3,0)</f>
        <v>4.12</v>
      </c>
      <c r="J119" s="107">
        <f t="shared" si="4"/>
        <v>0.82400000000000007</v>
      </c>
      <c r="K119" s="107">
        <f>VLOOKUP(E119,'COUT MOYEN'!$B$1:$E$71,4,0)</f>
        <v>11.01</v>
      </c>
      <c r="L119" s="108">
        <f t="shared" si="9"/>
        <v>9.0722400000000007</v>
      </c>
      <c r="M119" s="108"/>
      <c r="N119" s="63" t="str">
        <f t="shared" si="5"/>
        <v>Picotalène Midi</v>
      </c>
      <c r="O119" s="172">
        <f>SUMPRODUCT(--(PARCELLAIRE!H$2:H$58=UTILISATIONS!N119))</f>
        <v>0</v>
      </c>
    </row>
    <row r="120" spans="1:15">
      <c r="A120" s="105">
        <v>2013</v>
      </c>
      <c r="B120" s="105" t="str">
        <f>INDEX(PARCELLAIRE!$B$2:$B$29,MATCH(UTILISATIONS!C120,PARCELLAIRE!$D$2:$D$29,0))</f>
        <v>TOURNESOL</v>
      </c>
      <c r="C120" s="105" t="s">
        <v>168</v>
      </c>
      <c r="D120" s="106">
        <v>41326</v>
      </c>
      <c r="E120" s="105" t="s">
        <v>25</v>
      </c>
      <c r="F120" s="105" t="s">
        <v>69</v>
      </c>
      <c r="G120" s="105" t="str">
        <f>VLOOKUP(E120,ACHATS!$C:$D,2,0)</f>
        <v>DIVERS</v>
      </c>
      <c r="H120" s="105">
        <v>0.2</v>
      </c>
      <c r="I120" s="107">
        <f>VLOOKUP(C120,PARCELLAIRE!$D$2:$F$29,3,0)</f>
        <v>4.42</v>
      </c>
      <c r="J120" s="107">
        <f t="shared" si="4"/>
        <v>0.88400000000000001</v>
      </c>
      <c r="K120" s="107">
        <f>VLOOKUP(E120,'COUT MOYEN'!$B$1:$E$71,4,0)</f>
        <v>11.01</v>
      </c>
      <c r="L120" s="108">
        <f t="shared" si="9"/>
        <v>9.7328399999999995</v>
      </c>
      <c r="M120" s="108"/>
      <c r="N120" s="63" t="str">
        <f t="shared" si="5"/>
        <v>Picotalène Nord</v>
      </c>
      <c r="O120" s="172">
        <f>SUMPRODUCT(--(PARCELLAIRE!H$2:H$58=UTILISATIONS!N120))</f>
        <v>0</v>
      </c>
    </row>
    <row r="121" spans="1:15">
      <c r="A121" s="105">
        <v>2013</v>
      </c>
      <c r="B121" s="105" t="str">
        <f>INDEX(PARCELLAIRE!$B$2:$B$29,MATCH(UTILISATIONS!C121,PARCELLAIRE!$D$2:$D$29,0))</f>
        <v>BLE TENDRE</v>
      </c>
      <c r="C121" s="105" t="s">
        <v>160</v>
      </c>
      <c r="D121" s="106">
        <v>41340</v>
      </c>
      <c r="E121" s="105" t="s">
        <v>26</v>
      </c>
      <c r="F121" s="105" t="s">
        <v>69</v>
      </c>
      <c r="G121" s="105" t="str">
        <f>VLOOKUP(E121,ACHATS!$C:$D,2,0)</f>
        <v>DIVERS</v>
      </c>
      <c r="H121" s="105">
        <v>3</v>
      </c>
      <c r="I121" s="107">
        <f>VLOOKUP(C121,PARCELLAIRE!$D$2:$F$29,3,0)</f>
        <v>17.55</v>
      </c>
      <c r="J121" s="107">
        <f t="shared" si="4"/>
        <v>52.650000000000006</v>
      </c>
      <c r="K121" s="107">
        <f>VLOOKUP(E121,'COUT MOYEN'!$B$1:$E$71,4,0)</f>
        <v>1.66</v>
      </c>
      <c r="L121" s="108">
        <f t="shared" si="9"/>
        <v>87.399000000000001</v>
      </c>
      <c r="M121" s="108"/>
      <c r="N121" s="63" t="str">
        <f t="shared" si="5"/>
        <v>Labaou Plaine</v>
      </c>
      <c r="O121" s="172">
        <f>SUMPRODUCT(--(PARCELLAIRE!H$2:H$58=UTILISATIONS!N121))</f>
        <v>1</v>
      </c>
    </row>
    <row r="122" spans="1:15">
      <c r="A122" s="105">
        <v>2013</v>
      </c>
      <c r="B122" s="105" t="str">
        <f>INDEX(PARCELLAIRE!$B$2:$B$29,MATCH(UTILISATIONS!C122,PARCELLAIRE!$D$2:$D$29,0))</f>
        <v xml:space="preserve">BLE DUR </v>
      </c>
      <c r="C122" s="105" t="s">
        <v>174</v>
      </c>
      <c r="D122" s="106">
        <v>41340</v>
      </c>
      <c r="E122" s="105" t="s">
        <v>26</v>
      </c>
      <c r="F122" s="105" t="s">
        <v>69</v>
      </c>
      <c r="G122" s="105" t="str">
        <f>VLOOKUP(E122,ACHATS!$C:$D,2,0)</f>
        <v>DIVERS</v>
      </c>
      <c r="H122" s="105">
        <v>3</v>
      </c>
      <c r="I122" s="107">
        <f>VLOOKUP(C122,PARCELLAIRE!$D$2:$F$29,3,0)</f>
        <v>12.49</v>
      </c>
      <c r="J122" s="107">
        <f t="shared" si="4"/>
        <v>37.47</v>
      </c>
      <c r="K122" s="107">
        <f>VLOOKUP(E122,'COUT MOYEN'!$B$1:$E$71,4,0)</f>
        <v>1.66</v>
      </c>
      <c r="L122" s="108">
        <f t="shared" si="9"/>
        <v>62.200199999999995</v>
      </c>
      <c r="M122" s="108"/>
      <c r="N122" s="63" t="str">
        <f t="shared" si="5"/>
        <v>Engleyse Bousquet</v>
      </c>
      <c r="O122" s="172">
        <f>SUMPRODUCT(--(PARCELLAIRE!H$2:H$58=UTILISATIONS!N122))</f>
        <v>0</v>
      </c>
    </row>
    <row r="123" spans="1:15">
      <c r="A123" s="105">
        <v>2013</v>
      </c>
      <c r="B123" s="105" t="str">
        <f>INDEX(PARCELLAIRE!$B$2:$B$29,MATCH(UTILISATIONS!C123,PARCELLAIRE!$D$2:$D$29,0))</f>
        <v xml:space="preserve">BLE DUR </v>
      </c>
      <c r="C123" s="105" t="s">
        <v>174</v>
      </c>
      <c r="D123" s="106">
        <v>41340</v>
      </c>
      <c r="E123" s="105" t="s">
        <v>28</v>
      </c>
      <c r="F123" s="105" t="s">
        <v>69</v>
      </c>
      <c r="G123" s="105" t="str">
        <f>VLOOKUP(E123,ACHATS!$C:$D,2,0)</f>
        <v>DIVERS</v>
      </c>
      <c r="H123" s="105">
        <v>3</v>
      </c>
      <c r="I123" s="107">
        <f>VLOOKUP(C123,PARCELLAIRE!$D$2:$F$29,3,0)</f>
        <v>12.49</v>
      </c>
      <c r="J123" s="107">
        <f t="shared" si="4"/>
        <v>37.47</v>
      </c>
      <c r="K123" s="107">
        <f>VLOOKUP(E123,'COUT MOYEN'!$B$1:$E$71,4,0)</f>
        <v>2.9</v>
      </c>
      <c r="L123" s="108">
        <f t="shared" si="9"/>
        <v>108.663</v>
      </c>
      <c r="M123" s="108"/>
      <c r="N123" s="63" t="str">
        <f t="shared" si="5"/>
        <v>Engleyse Bousquet</v>
      </c>
      <c r="O123" s="172">
        <f>SUMPRODUCT(--(PARCELLAIRE!H$2:H$58=UTILISATIONS!N123))</f>
        <v>0</v>
      </c>
    </row>
    <row r="124" spans="1:15">
      <c r="A124" s="105">
        <v>2013</v>
      </c>
      <c r="B124" s="105" t="str">
        <f>INDEX(PARCELLAIRE!$B$2:$B$29,MATCH(UTILISATIONS!C124,PARCELLAIRE!$D$2:$D$29,0))</f>
        <v>BLE TENDRE</v>
      </c>
      <c r="C124" s="105" t="s">
        <v>160</v>
      </c>
      <c r="D124" s="106">
        <v>41340</v>
      </c>
      <c r="E124" s="105" t="s">
        <v>28</v>
      </c>
      <c r="F124" s="105" t="s">
        <v>69</v>
      </c>
      <c r="G124" s="105" t="str">
        <f>VLOOKUP(E124,ACHATS!$C:$D,2,0)</f>
        <v>DIVERS</v>
      </c>
      <c r="H124" s="105">
        <v>3</v>
      </c>
      <c r="I124" s="107">
        <f>VLOOKUP(C124,PARCELLAIRE!$D$2:$F$29,3,0)</f>
        <v>17.55</v>
      </c>
      <c r="J124" s="107">
        <f t="shared" si="4"/>
        <v>52.650000000000006</v>
      </c>
      <c r="K124" s="107">
        <f>VLOOKUP(E124,'COUT MOYEN'!$B$1:$E$71,4,0)</f>
        <v>2.9</v>
      </c>
      <c r="L124" s="108">
        <f t="shared" si="9"/>
        <v>152.685</v>
      </c>
      <c r="M124" s="108"/>
      <c r="N124" s="63" t="str">
        <f t="shared" si="5"/>
        <v>Labaou Plaine</v>
      </c>
      <c r="O124" s="172">
        <f>SUMPRODUCT(--(PARCELLAIRE!H$2:H$58=UTILISATIONS!N124))</f>
        <v>1</v>
      </c>
    </row>
    <row r="125" spans="1:15">
      <c r="A125" s="105">
        <v>2013</v>
      </c>
      <c r="B125" s="105" t="str">
        <f>INDEX(PARCELLAIRE!$B$2:$B$29,MATCH(UTILISATIONS!C125,PARCELLAIRE!$D$2:$D$29,0))</f>
        <v xml:space="preserve">BLE DUR </v>
      </c>
      <c r="C125" s="105" t="s">
        <v>144</v>
      </c>
      <c r="D125" s="106">
        <v>41341</v>
      </c>
      <c r="E125" s="105" t="s">
        <v>18</v>
      </c>
      <c r="F125" s="105" t="s">
        <v>70</v>
      </c>
      <c r="G125" s="105" t="str">
        <f>VLOOKUP(E125,ACHATS!$C:$D,2,0)</f>
        <v>DESHERBANT</v>
      </c>
      <c r="H125" s="105">
        <v>20</v>
      </c>
      <c r="I125" s="107">
        <f>VLOOKUP(C125,PARCELLAIRE!$D$2:$F$29,3,0)</f>
        <v>5.27</v>
      </c>
      <c r="J125" s="107">
        <f t="shared" si="4"/>
        <v>105.39999999999999</v>
      </c>
      <c r="K125" s="107">
        <f>VLOOKUP(E125,'COUT MOYEN'!$B$1:$E$71,4,0)</f>
        <v>0.67</v>
      </c>
      <c r="L125" s="108">
        <f t="shared" si="9"/>
        <v>70.617999999999995</v>
      </c>
      <c r="M125" s="108"/>
      <c r="N125" s="63" t="str">
        <f t="shared" si="5"/>
        <v>Bousquet Château</v>
      </c>
      <c r="O125" s="172">
        <f>SUMPRODUCT(--(PARCELLAIRE!H$2:H$58=UTILISATIONS!N125))</f>
        <v>0</v>
      </c>
    </row>
    <row r="126" spans="1:15">
      <c r="A126" s="105">
        <v>2013</v>
      </c>
      <c r="B126" s="105" t="str">
        <f>INDEX(PARCELLAIRE!$B$2:$B$29,MATCH(UTILISATIONS!C126,PARCELLAIRE!$D$2:$D$29,0))</f>
        <v xml:space="preserve">BLE DUR </v>
      </c>
      <c r="C126" s="105" t="s">
        <v>147</v>
      </c>
      <c r="D126" s="106">
        <v>41341</v>
      </c>
      <c r="E126" s="105" t="s">
        <v>18</v>
      </c>
      <c r="F126" s="105" t="s">
        <v>70</v>
      </c>
      <c r="G126" s="105" t="str">
        <f>VLOOKUP(E126,ACHATS!$C:$D,2,0)</f>
        <v>DESHERBANT</v>
      </c>
      <c r="H126" s="105">
        <v>20</v>
      </c>
      <c r="I126" s="107">
        <f>VLOOKUP(C126,PARCELLAIRE!$D$2:$F$29,3,0)</f>
        <v>5.67</v>
      </c>
      <c r="J126" s="107">
        <f t="shared" si="4"/>
        <v>113.4</v>
      </c>
      <c r="K126" s="107">
        <f>VLOOKUP(E126,'COUT MOYEN'!$B$1:$E$71,4,0)</f>
        <v>0.67</v>
      </c>
      <c r="L126" s="108">
        <f t="shared" si="9"/>
        <v>75.978000000000009</v>
      </c>
      <c r="M126" s="108"/>
      <c r="N126" s="63" t="str">
        <f t="shared" si="5"/>
        <v>Bousquet Route</v>
      </c>
      <c r="O126" s="172">
        <f>SUMPRODUCT(--(PARCELLAIRE!H$2:H$58=UTILISATIONS!N126))</f>
        <v>0</v>
      </c>
    </row>
    <row r="127" spans="1:15">
      <c r="A127" s="105">
        <v>2013</v>
      </c>
      <c r="B127" s="105" t="str">
        <f>INDEX(PARCELLAIRE!$B$2:$B$29,MATCH(UTILISATIONS!C127,PARCELLAIRE!$D$2:$D$29,0))</f>
        <v xml:space="preserve">BLE DUR </v>
      </c>
      <c r="C127" s="105" t="s">
        <v>144</v>
      </c>
      <c r="D127" s="106">
        <v>41341</v>
      </c>
      <c r="E127" s="105" t="s">
        <v>20</v>
      </c>
      <c r="F127" s="105" t="s">
        <v>69</v>
      </c>
      <c r="G127" s="105" t="str">
        <f>VLOOKUP(E127,ACHATS!$C:$D,2,0)</f>
        <v>DESHERBANT</v>
      </c>
      <c r="H127" s="105">
        <v>0.9</v>
      </c>
      <c r="I127" s="107">
        <f>VLOOKUP(C127,PARCELLAIRE!$D$2:$F$29,3,0)</f>
        <v>5.27</v>
      </c>
      <c r="J127" s="107">
        <f t="shared" si="4"/>
        <v>4.7429999999999994</v>
      </c>
      <c r="K127" s="107">
        <f>VLOOKUP(E127,'COUT MOYEN'!$B$1:$E$71,4,0)</f>
        <v>31</v>
      </c>
      <c r="L127" s="108">
        <f t="shared" si="9"/>
        <v>147.03299999999999</v>
      </c>
      <c r="M127" s="108"/>
      <c r="N127" s="63" t="str">
        <f t="shared" si="5"/>
        <v>Bousquet Château</v>
      </c>
      <c r="O127" s="172">
        <f>SUMPRODUCT(--(PARCELLAIRE!H$2:H$58=UTILISATIONS!N127))</f>
        <v>0</v>
      </c>
    </row>
    <row r="128" spans="1:15">
      <c r="A128" s="105">
        <v>2013</v>
      </c>
      <c r="B128" s="105" t="str">
        <f>INDEX(PARCELLAIRE!$B$2:$B$29,MATCH(UTILISATIONS!C128,PARCELLAIRE!$D$2:$D$29,0))</f>
        <v xml:space="preserve">BLE DUR </v>
      </c>
      <c r="C128" s="105" t="s">
        <v>147</v>
      </c>
      <c r="D128" s="106">
        <v>41341</v>
      </c>
      <c r="E128" s="105" t="s">
        <v>20</v>
      </c>
      <c r="F128" s="105" t="s">
        <v>69</v>
      </c>
      <c r="G128" s="105" t="str">
        <f>VLOOKUP(E128,ACHATS!$C:$D,2,0)</f>
        <v>DESHERBANT</v>
      </c>
      <c r="H128" s="105">
        <v>0.9</v>
      </c>
      <c r="I128" s="107">
        <f>VLOOKUP(C128,PARCELLAIRE!$D$2:$F$29,3,0)</f>
        <v>5.67</v>
      </c>
      <c r="J128" s="107">
        <f t="shared" si="4"/>
        <v>5.1029999999999998</v>
      </c>
      <c r="K128" s="107">
        <f>VLOOKUP(E128,'COUT MOYEN'!$B$1:$E$71,4,0)</f>
        <v>31</v>
      </c>
      <c r="L128" s="108">
        <f t="shared" si="9"/>
        <v>158.19299999999998</v>
      </c>
      <c r="M128" s="108"/>
      <c r="N128" s="63" t="str">
        <f t="shared" si="5"/>
        <v>Bousquet Route</v>
      </c>
      <c r="O128" s="172">
        <f>SUMPRODUCT(--(PARCELLAIRE!H$2:H$58=UTILISATIONS!N128))</f>
        <v>0</v>
      </c>
    </row>
    <row r="129" spans="1:15">
      <c r="A129" s="105">
        <v>2013</v>
      </c>
      <c r="B129" s="105" t="str">
        <f>INDEX(PARCELLAIRE!$B$2:$B$29,MATCH(UTILISATIONS!C129,PARCELLAIRE!$D$2:$D$29,0))</f>
        <v xml:space="preserve">BLE DUR </v>
      </c>
      <c r="C129" s="105" t="s">
        <v>151</v>
      </c>
      <c r="D129" s="106">
        <v>41341</v>
      </c>
      <c r="E129" s="105" t="s">
        <v>20</v>
      </c>
      <c r="F129" s="105" t="s">
        <v>69</v>
      </c>
      <c r="G129" s="105" t="str">
        <f>VLOOKUP(E129,ACHATS!$C:$D,2,0)</f>
        <v>DESHERBANT</v>
      </c>
      <c r="H129" s="105">
        <v>0.9</v>
      </c>
      <c r="I129" s="107">
        <f>VLOOKUP(C129,PARCELLAIRE!$D$2:$F$29,3,0)</f>
        <v>7.58</v>
      </c>
      <c r="J129" s="107">
        <f t="shared" si="4"/>
        <v>6.8220000000000001</v>
      </c>
      <c r="K129" s="107">
        <f>VLOOKUP(E129,'COUT MOYEN'!$B$1:$E$71,4,0)</f>
        <v>31</v>
      </c>
      <c r="L129" s="108">
        <f t="shared" si="9"/>
        <v>211.482</v>
      </c>
      <c r="M129" s="108"/>
      <c r="N129" s="63" t="str">
        <f t="shared" si="5"/>
        <v>Escarcelou</v>
      </c>
      <c r="O129" s="172">
        <f>SUMPRODUCT(--(PARCELLAIRE!H$2:H$58=UTILISATIONS!N129))</f>
        <v>0</v>
      </c>
    </row>
    <row r="130" spans="1:15">
      <c r="A130" s="105">
        <v>2013</v>
      </c>
      <c r="B130" s="105" t="str">
        <f>INDEX(PARCELLAIRE!$B$2:$B$29,MATCH(UTILISATIONS!C130,PARCELLAIRE!$D$2:$D$29,0))</f>
        <v xml:space="preserve">BLE DUR </v>
      </c>
      <c r="C130" s="105" t="s">
        <v>176</v>
      </c>
      <c r="D130" s="106">
        <v>41341</v>
      </c>
      <c r="E130" s="105" t="s">
        <v>20</v>
      </c>
      <c r="F130" s="105" t="s">
        <v>69</v>
      </c>
      <c r="G130" s="105" t="str">
        <f>VLOOKUP(E130,ACHATS!$C:$D,2,0)</f>
        <v>DESHERBANT</v>
      </c>
      <c r="H130" s="105">
        <v>0.9</v>
      </c>
      <c r="I130" s="107">
        <f>VLOOKUP(C130,PARCELLAIRE!$D$2:$F$29,3,0)</f>
        <v>11.9</v>
      </c>
      <c r="J130" s="107">
        <f t="shared" ref="J130:J193" si="10">I130*H130</f>
        <v>10.71</v>
      </c>
      <c r="K130" s="107">
        <f>VLOOKUP(E130,'COUT MOYEN'!$B$1:$E$71,4,0)</f>
        <v>31</v>
      </c>
      <c r="L130" s="108">
        <f t="shared" si="9"/>
        <v>332.01000000000005</v>
      </c>
      <c r="M130" s="108"/>
      <c r="N130" s="63" t="str">
        <f t="shared" ref="N130:N193" si="11">IF(WHEN=A130,C130,1)</f>
        <v>Labaou Devant</v>
      </c>
      <c r="O130" s="172">
        <f>SUMPRODUCT(--(PARCELLAIRE!H$2:H$58=UTILISATIONS!N130))</f>
        <v>0</v>
      </c>
    </row>
    <row r="131" spans="1:15">
      <c r="A131" s="105">
        <v>2013</v>
      </c>
      <c r="B131" s="105" t="str">
        <f>INDEX(PARCELLAIRE!$B$2:$B$29,MATCH(UTILISATIONS!C131,PARCELLAIRE!$D$2:$D$29,0))</f>
        <v xml:space="preserve">BLE DUR </v>
      </c>
      <c r="C131" s="105" t="s">
        <v>153</v>
      </c>
      <c r="D131" s="106">
        <v>41341</v>
      </c>
      <c r="E131" s="105" t="s">
        <v>20</v>
      </c>
      <c r="F131" s="105" t="s">
        <v>69</v>
      </c>
      <c r="G131" s="105" t="str">
        <f>VLOOKUP(E131,ACHATS!$C:$D,2,0)</f>
        <v>DESHERBANT</v>
      </c>
      <c r="H131" s="105">
        <v>0.9</v>
      </c>
      <c r="I131" s="107">
        <f>VLOOKUP(C131,PARCELLAIRE!$D$2:$F$29,3,0)</f>
        <v>7.5</v>
      </c>
      <c r="J131" s="107">
        <f t="shared" si="10"/>
        <v>6.75</v>
      </c>
      <c r="K131" s="107">
        <f>VLOOKUP(E131,'COUT MOYEN'!$B$1:$E$71,4,0)</f>
        <v>31</v>
      </c>
      <c r="L131" s="108">
        <f t="shared" si="9"/>
        <v>209.25</v>
      </c>
      <c r="M131" s="108"/>
      <c r="N131" s="63" t="str">
        <f t="shared" si="11"/>
        <v>Escarcelou Pte</v>
      </c>
      <c r="O131" s="172">
        <f>SUMPRODUCT(--(PARCELLAIRE!H$2:H$58=UTILISATIONS!N131))</f>
        <v>0</v>
      </c>
    </row>
    <row r="132" spans="1:15">
      <c r="A132" s="105">
        <v>2013</v>
      </c>
      <c r="B132" s="105" t="str">
        <f>INDEX(PARCELLAIRE!$B$2:$B$29,MATCH(UTILISATIONS!C132,PARCELLAIRE!$D$2:$D$29,0))</f>
        <v xml:space="preserve">BLE DUR </v>
      </c>
      <c r="C132" s="105" t="s">
        <v>151</v>
      </c>
      <c r="D132" s="106">
        <v>41341</v>
      </c>
      <c r="E132" s="105" t="s">
        <v>21</v>
      </c>
      <c r="F132" s="105" t="s">
        <v>69</v>
      </c>
      <c r="G132" s="105" t="str">
        <f>VLOOKUP(E132,ACHATS!$C:$D,2,0)</f>
        <v>DESHERBANT</v>
      </c>
      <c r="H132" s="105">
        <v>60</v>
      </c>
      <c r="I132" s="107">
        <f>VLOOKUP(C132,PARCELLAIRE!$D$2:$F$29,3,0)</f>
        <v>7.58</v>
      </c>
      <c r="J132" s="107">
        <f t="shared" si="10"/>
        <v>454.8</v>
      </c>
      <c r="K132" s="107">
        <f>VLOOKUP(E132,'COUT MOYEN'!$B$1:$E$71,4,0)</f>
        <v>0.21666666666666667</v>
      </c>
      <c r="L132" s="108">
        <f t="shared" si="9"/>
        <v>98.54</v>
      </c>
      <c r="M132" s="108"/>
      <c r="N132" s="63" t="str">
        <f t="shared" si="11"/>
        <v>Escarcelou</v>
      </c>
      <c r="O132" s="172">
        <f>SUMPRODUCT(--(PARCELLAIRE!H$2:H$58=UTILISATIONS!N132))</f>
        <v>0</v>
      </c>
    </row>
    <row r="133" spans="1:15">
      <c r="A133" s="105">
        <v>2013</v>
      </c>
      <c r="B133" s="105" t="str">
        <f>INDEX(PARCELLAIRE!$B$2:$B$29,MATCH(UTILISATIONS!C133,PARCELLAIRE!$D$2:$D$29,0))</f>
        <v xml:space="preserve">BLE DUR </v>
      </c>
      <c r="C133" s="105" t="s">
        <v>176</v>
      </c>
      <c r="D133" s="106">
        <v>41341</v>
      </c>
      <c r="E133" s="105" t="s">
        <v>21</v>
      </c>
      <c r="F133" s="105" t="s">
        <v>69</v>
      </c>
      <c r="G133" s="105" t="str">
        <f>VLOOKUP(E133,ACHATS!$C:$D,2,0)</f>
        <v>DESHERBANT</v>
      </c>
      <c r="H133" s="105">
        <v>60</v>
      </c>
      <c r="I133" s="107">
        <f>VLOOKUP(C133,PARCELLAIRE!$D$2:$F$29,3,0)</f>
        <v>11.9</v>
      </c>
      <c r="J133" s="107">
        <f t="shared" si="10"/>
        <v>714</v>
      </c>
      <c r="K133" s="107">
        <f>VLOOKUP(E133,'COUT MOYEN'!$B$1:$E$71,4,0)</f>
        <v>0.21666666666666667</v>
      </c>
      <c r="L133" s="108">
        <f t="shared" si="9"/>
        <v>154.70000000000002</v>
      </c>
      <c r="M133" s="108"/>
      <c r="N133" s="63" t="str">
        <f t="shared" si="11"/>
        <v>Labaou Devant</v>
      </c>
      <c r="O133" s="172">
        <f>SUMPRODUCT(--(PARCELLAIRE!H$2:H$58=UTILISATIONS!N133))</f>
        <v>0</v>
      </c>
    </row>
    <row r="134" spans="1:15">
      <c r="A134" s="105">
        <v>2013</v>
      </c>
      <c r="B134" s="105" t="str">
        <f>INDEX(PARCELLAIRE!$B$2:$B$29,MATCH(UTILISATIONS!C134,PARCELLAIRE!$D$2:$D$29,0))</f>
        <v xml:space="preserve">BLE DUR </v>
      </c>
      <c r="C134" s="105" t="s">
        <v>153</v>
      </c>
      <c r="D134" s="106">
        <v>41341</v>
      </c>
      <c r="E134" s="105" t="s">
        <v>21</v>
      </c>
      <c r="F134" s="105" t="s">
        <v>69</v>
      </c>
      <c r="G134" s="105" t="str">
        <f>VLOOKUP(E134,ACHATS!$C:$D,2,0)</f>
        <v>DESHERBANT</v>
      </c>
      <c r="H134" s="105">
        <v>60</v>
      </c>
      <c r="I134" s="107">
        <f>VLOOKUP(C134,PARCELLAIRE!$D$2:$F$29,3,0)</f>
        <v>7.5</v>
      </c>
      <c r="J134" s="107">
        <f t="shared" si="10"/>
        <v>450</v>
      </c>
      <c r="K134" s="107">
        <f>VLOOKUP(E134,'COUT MOYEN'!$B$1:$E$71,4,0)</f>
        <v>0.21666666666666667</v>
      </c>
      <c r="L134" s="108">
        <f t="shared" si="9"/>
        <v>97.5</v>
      </c>
      <c r="M134" s="108"/>
      <c r="N134" s="63" t="str">
        <f t="shared" si="11"/>
        <v>Escarcelou Pte</v>
      </c>
      <c r="O134" s="172">
        <f>SUMPRODUCT(--(PARCELLAIRE!H$2:H$58=UTILISATIONS!N134))</f>
        <v>0</v>
      </c>
    </row>
    <row r="135" spans="1:15">
      <c r="A135" s="105">
        <v>2013</v>
      </c>
      <c r="B135" s="105" t="str">
        <f>INDEX(PARCELLAIRE!$B$2:$B$29,MATCH(UTILISATIONS!C135,PARCELLAIRE!$D$2:$D$29,0))</f>
        <v xml:space="preserve">BLE DUR </v>
      </c>
      <c r="C135" s="105" t="s">
        <v>162</v>
      </c>
      <c r="D135" s="106">
        <v>41341</v>
      </c>
      <c r="E135" s="105" t="s">
        <v>21</v>
      </c>
      <c r="F135" s="105" t="s">
        <v>69</v>
      </c>
      <c r="G135" s="105" t="str">
        <f>VLOOKUP(E135,ACHATS!$C:$D,2,0)</f>
        <v>DESHERBANT</v>
      </c>
      <c r="H135" s="105">
        <v>60</v>
      </c>
      <c r="I135" s="107">
        <f>VLOOKUP(C135,PARCELLAIRE!$D$2:$F$29,3,0)</f>
        <v>2.67</v>
      </c>
      <c r="J135" s="107">
        <f t="shared" si="10"/>
        <v>160.19999999999999</v>
      </c>
      <c r="K135" s="107">
        <f>VLOOKUP(E135,'COUT MOYEN'!$B$1:$E$71,4,0)</f>
        <v>0.21666666666666667</v>
      </c>
      <c r="L135" s="108">
        <f t="shared" si="9"/>
        <v>34.71</v>
      </c>
      <c r="M135" s="108"/>
      <c r="N135" s="63" t="str">
        <f t="shared" si="11"/>
        <v>Lescandes</v>
      </c>
      <c r="O135" s="172">
        <f>SUMPRODUCT(--(PARCELLAIRE!H$2:H$58=UTILISATIONS!N135))</f>
        <v>0</v>
      </c>
    </row>
    <row r="136" spans="1:15">
      <c r="A136" s="105">
        <v>2013</v>
      </c>
      <c r="B136" s="105" t="str">
        <f>INDEX(PARCELLAIRE!$B$2:$B$29,MATCH(UTILISATIONS!C136,PARCELLAIRE!$D$2:$D$29,0))</f>
        <v xml:space="preserve">BLE DUR </v>
      </c>
      <c r="C136" s="105" t="s">
        <v>172</v>
      </c>
      <c r="D136" s="106">
        <v>41341</v>
      </c>
      <c r="E136" s="105" t="s">
        <v>21</v>
      </c>
      <c r="F136" s="105" t="s">
        <v>69</v>
      </c>
      <c r="G136" s="105" t="str">
        <f>VLOOKUP(E136,ACHATS!$C:$D,2,0)</f>
        <v>DESHERBANT</v>
      </c>
      <c r="H136" s="105">
        <v>60</v>
      </c>
      <c r="I136" s="107">
        <f>VLOOKUP(C136,PARCELLAIRE!$D$2:$F$29,3,0)</f>
        <v>16.440000000000001</v>
      </c>
      <c r="J136" s="107">
        <f t="shared" si="10"/>
        <v>986.40000000000009</v>
      </c>
      <c r="K136" s="107">
        <f>VLOOKUP(E136,'COUT MOYEN'!$B$1:$E$71,4,0)</f>
        <v>0.21666666666666667</v>
      </c>
      <c r="L136" s="108">
        <f t="shared" si="9"/>
        <v>213.72000000000003</v>
      </c>
      <c r="M136" s="108"/>
      <c r="N136" s="63" t="str">
        <f t="shared" si="11"/>
        <v>Lescandes Côteau</v>
      </c>
      <c r="O136" s="172">
        <f>SUMPRODUCT(--(PARCELLAIRE!H$2:H$58=UTILISATIONS!N136))</f>
        <v>0</v>
      </c>
    </row>
    <row r="137" spans="1:15">
      <c r="A137" s="105">
        <v>2013</v>
      </c>
      <c r="B137" s="105" t="str">
        <f>INDEX(PARCELLAIRE!$B$2:$B$29,MATCH(UTILISATIONS!C137,PARCELLAIRE!$D$2:$D$29,0))</f>
        <v>TOURNESOL</v>
      </c>
      <c r="C137" s="105" t="s">
        <v>143</v>
      </c>
      <c r="D137" s="106">
        <v>41344</v>
      </c>
      <c r="E137" s="105" t="s">
        <v>25</v>
      </c>
      <c r="F137" s="105" t="s">
        <v>69</v>
      </c>
      <c r="G137" s="105" t="str">
        <f>VLOOKUP(E137,ACHATS!$C:$D,2,0)</f>
        <v>DIVERS</v>
      </c>
      <c r="H137" s="105">
        <v>0.2</v>
      </c>
      <c r="I137" s="107">
        <f>VLOOKUP(C137,PARCELLAIRE!$D$2:$F$29,3,0)</f>
        <v>5.17</v>
      </c>
      <c r="J137" s="107">
        <f t="shared" si="10"/>
        <v>1.034</v>
      </c>
      <c r="K137" s="107">
        <f>VLOOKUP(E137,'COUT MOYEN'!$B$1:$E$71,4,0)</f>
        <v>11.01</v>
      </c>
      <c r="L137" s="108">
        <f t="shared" si="9"/>
        <v>11.38434</v>
      </c>
      <c r="M137" s="108"/>
      <c r="N137" s="63" t="str">
        <f t="shared" si="11"/>
        <v>Andres</v>
      </c>
      <c r="O137" s="172">
        <f>SUMPRODUCT(--(PARCELLAIRE!H$2:H$58=UTILISATIONS!N137))</f>
        <v>0</v>
      </c>
    </row>
    <row r="138" spans="1:15">
      <c r="A138" s="105">
        <v>2013</v>
      </c>
      <c r="B138" s="105" t="str">
        <f>INDEX(PARCELLAIRE!$B$2:$B$29,MATCH(UTILISATIONS!C138,PARCELLAIRE!$D$2:$D$29,0))</f>
        <v>TOURNESOL</v>
      </c>
      <c r="C138" s="105" t="s">
        <v>164</v>
      </c>
      <c r="D138" s="106">
        <v>41344</v>
      </c>
      <c r="E138" s="105" t="s">
        <v>25</v>
      </c>
      <c r="F138" s="105" t="s">
        <v>69</v>
      </c>
      <c r="G138" s="105" t="str">
        <f>VLOOKUP(E138,ACHATS!$C:$D,2,0)</f>
        <v>DIVERS</v>
      </c>
      <c r="H138" s="105">
        <v>0.2</v>
      </c>
      <c r="I138" s="107">
        <f>VLOOKUP(C138,PARCELLAIRE!$D$2:$F$29,3,0)</f>
        <v>21.88</v>
      </c>
      <c r="J138" s="107">
        <f t="shared" si="10"/>
        <v>4.3760000000000003</v>
      </c>
      <c r="K138" s="107">
        <f>VLOOKUP(E138,'COUT MOYEN'!$B$1:$E$71,4,0)</f>
        <v>11.01</v>
      </c>
      <c r="L138" s="108">
        <f t="shared" si="9"/>
        <v>48.179760000000002</v>
      </c>
      <c r="M138" s="108"/>
      <c r="N138" s="63" t="str">
        <f t="shared" si="11"/>
        <v>Moulin Barthes</v>
      </c>
      <c r="O138" s="172">
        <f>SUMPRODUCT(--(PARCELLAIRE!H$2:H$58=UTILISATIONS!N138))</f>
        <v>0</v>
      </c>
    </row>
    <row r="139" spans="1:15">
      <c r="A139" s="110">
        <v>2013</v>
      </c>
      <c r="B139" s="105" t="str">
        <f>INDEX(PARCELLAIRE!$B$2:$B$29,MATCH(UTILISATIONS!C139,PARCELLAIRE!$D$2:$D$29,0))</f>
        <v>TOURNESOL</v>
      </c>
      <c r="C139" s="110" t="s">
        <v>157</v>
      </c>
      <c r="D139" s="106">
        <v>41344</v>
      </c>
      <c r="E139" s="110" t="s">
        <v>25</v>
      </c>
      <c r="F139" s="110" t="s">
        <v>69</v>
      </c>
      <c r="G139" s="105" t="str">
        <f>VLOOKUP(E139,ACHATS!$C:$D,2,0)</f>
        <v>DIVERS</v>
      </c>
      <c r="H139" s="105">
        <v>0.2</v>
      </c>
      <c r="I139" s="107">
        <f>VLOOKUP(C139,PARCELLAIRE!$D$2:$F$29,3,0)</f>
        <v>5.26</v>
      </c>
      <c r="J139" s="107">
        <f t="shared" si="10"/>
        <v>1.052</v>
      </c>
      <c r="K139" s="107">
        <f>VLOOKUP(E139,'COUT MOYEN'!$B$1:$E$71,4,0)</f>
        <v>11.01</v>
      </c>
      <c r="L139" s="108">
        <f t="shared" si="9"/>
        <v>11.582520000000001</v>
      </c>
      <c r="M139" s="108"/>
      <c r="N139" s="63" t="str">
        <f t="shared" si="11"/>
        <v>L'Aule métairie</v>
      </c>
      <c r="O139" s="172">
        <f>SUMPRODUCT(--(PARCELLAIRE!H$2:H$58=UTILISATIONS!N139))</f>
        <v>1</v>
      </c>
    </row>
    <row r="140" spans="1:15">
      <c r="A140" s="110">
        <v>2013</v>
      </c>
      <c r="B140" s="105" t="str">
        <f>INDEX(PARCELLAIRE!$B$2:$B$29,MATCH(UTILISATIONS!C140,PARCELLAIRE!$D$2:$D$29,0))</f>
        <v>TOURNESOL</v>
      </c>
      <c r="C140" s="110" t="s">
        <v>158</v>
      </c>
      <c r="D140" s="106">
        <v>41344</v>
      </c>
      <c r="E140" s="110" t="s">
        <v>25</v>
      </c>
      <c r="F140" s="110" t="s">
        <v>69</v>
      </c>
      <c r="G140" s="105" t="str">
        <f>VLOOKUP(E140,ACHATS!$C:$D,2,0)</f>
        <v>DIVERS</v>
      </c>
      <c r="H140" s="105">
        <v>0.2</v>
      </c>
      <c r="I140" s="107">
        <f>VLOOKUP(C140,PARCELLAIRE!$D$2:$F$29,3,0)</f>
        <v>15.64</v>
      </c>
      <c r="J140" s="107">
        <f t="shared" si="10"/>
        <v>3.1280000000000001</v>
      </c>
      <c r="K140" s="107">
        <f>VLOOKUP(E140,'COUT MOYEN'!$B$1:$E$71,4,0)</f>
        <v>11.01</v>
      </c>
      <c r="L140" s="108">
        <f t="shared" si="9"/>
        <v>34.439280000000004</v>
      </c>
      <c r="M140" s="108"/>
      <c r="N140" s="63" t="str">
        <f t="shared" si="11"/>
        <v>L'Aule Plaine</v>
      </c>
      <c r="O140" s="172">
        <f>SUMPRODUCT(--(PARCELLAIRE!H$2:H$58=UTILISATIONS!N140))</f>
        <v>1</v>
      </c>
    </row>
    <row r="141" spans="1:15">
      <c r="A141" s="110">
        <v>2013</v>
      </c>
      <c r="B141" s="105" t="str">
        <f>INDEX(PARCELLAIRE!$B$2:$B$29,MATCH(UTILISATIONS!C141,PARCELLAIRE!$D$2:$D$29,0))</f>
        <v xml:space="preserve">SOJA </v>
      </c>
      <c r="C141" s="110" t="s">
        <v>173</v>
      </c>
      <c r="D141" s="106">
        <v>41344</v>
      </c>
      <c r="E141" s="110" t="s">
        <v>25</v>
      </c>
      <c r="F141" s="110" t="s">
        <v>69</v>
      </c>
      <c r="G141" s="105" t="str">
        <f>VLOOKUP(E141,ACHATS!$C:$D,2,0)</f>
        <v>DIVERS</v>
      </c>
      <c r="H141" s="105">
        <v>0.2</v>
      </c>
      <c r="I141" s="107">
        <f>VLOOKUP(C141,PARCELLAIRE!$D$2:$F$29,3,0)</f>
        <v>8.58</v>
      </c>
      <c r="J141" s="107">
        <f t="shared" si="10"/>
        <v>1.7160000000000002</v>
      </c>
      <c r="K141" s="107">
        <f>VLOOKUP(E141,'COUT MOYEN'!$B$1:$E$71,4,0)</f>
        <v>11.01</v>
      </c>
      <c r="L141" s="108">
        <f t="shared" si="9"/>
        <v>18.893160000000002</v>
      </c>
      <c r="M141" s="108"/>
      <c r="N141" s="63" t="str">
        <f t="shared" si="11"/>
        <v>Engleyse Route</v>
      </c>
      <c r="O141" s="172">
        <f>SUMPRODUCT(--(PARCELLAIRE!H$2:H$58=UTILISATIONS!N141))</f>
        <v>0</v>
      </c>
    </row>
    <row r="142" spans="1:15">
      <c r="A142" s="105">
        <v>2013</v>
      </c>
      <c r="B142" s="105" t="str">
        <f>INDEX(PARCELLAIRE!$B$2:$B$29,MATCH(UTILISATIONS!C142,PARCELLAIRE!$D$2:$D$29,0))</f>
        <v xml:space="preserve">SOJA </v>
      </c>
      <c r="C142" s="105" t="s">
        <v>173</v>
      </c>
      <c r="D142" s="106">
        <v>41344</v>
      </c>
      <c r="E142" s="105" t="s">
        <v>16</v>
      </c>
      <c r="F142" s="105" t="s">
        <v>69</v>
      </c>
      <c r="G142" s="105" t="str">
        <f>VLOOKUP(E142,ACHATS!$C:$D,2,0)</f>
        <v>DESHERBANT</v>
      </c>
      <c r="H142" s="105">
        <v>1.5</v>
      </c>
      <c r="I142" s="107">
        <f>VLOOKUP(C142,PARCELLAIRE!$D$2:$F$29,3,0)</f>
        <v>8.58</v>
      </c>
      <c r="J142" s="107">
        <f t="shared" si="10"/>
        <v>12.870000000000001</v>
      </c>
      <c r="K142" s="107">
        <f>VLOOKUP(E142,'COUT MOYEN'!$B$1:$E$71,4,0)</f>
        <v>4.9381521739130436</v>
      </c>
      <c r="L142" s="108">
        <f t="shared" si="9"/>
        <v>63.554018478260879</v>
      </c>
      <c r="M142" s="108"/>
      <c r="N142" s="63" t="str">
        <f t="shared" si="11"/>
        <v>Engleyse Route</v>
      </c>
      <c r="O142" s="172">
        <f>SUMPRODUCT(--(PARCELLAIRE!H$2:H$58=UTILISATIONS!N142))</f>
        <v>0</v>
      </c>
    </row>
    <row r="143" spans="1:15">
      <c r="A143" s="105">
        <v>2013</v>
      </c>
      <c r="B143" s="105" t="str">
        <f>INDEX(PARCELLAIRE!$B$2:$B$29,MATCH(UTILISATIONS!C143,PARCELLAIRE!$D$2:$D$29,0))</f>
        <v>TOURNESOL</v>
      </c>
      <c r="C143" s="105" t="s">
        <v>158</v>
      </c>
      <c r="D143" s="106">
        <v>41344</v>
      </c>
      <c r="E143" s="105" t="s">
        <v>16</v>
      </c>
      <c r="F143" s="105" t="s">
        <v>69</v>
      </c>
      <c r="G143" s="105" t="str">
        <f>VLOOKUP(E143,ACHATS!$C:$D,2,0)</f>
        <v>DESHERBANT</v>
      </c>
      <c r="H143" s="105">
        <v>2</v>
      </c>
      <c r="I143" s="107">
        <f>VLOOKUP(C143,PARCELLAIRE!$D$2:$F$29,3,0)</f>
        <v>15.64</v>
      </c>
      <c r="J143" s="107">
        <f t="shared" si="10"/>
        <v>31.28</v>
      </c>
      <c r="K143" s="107">
        <f>VLOOKUP(E143,'COUT MOYEN'!$B$1:$E$71,4,0)</f>
        <v>4.9381521739130436</v>
      </c>
      <c r="L143" s="108">
        <f t="shared" si="9"/>
        <v>154.46540000000002</v>
      </c>
      <c r="M143" s="108"/>
      <c r="N143" s="63" t="str">
        <f t="shared" si="11"/>
        <v>L'Aule Plaine</v>
      </c>
      <c r="O143" s="172">
        <f>SUMPRODUCT(--(PARCELLAIRE!H$2:H$58=UTILISATIONS!N143))</f>
        <v>1</v>
      </c>
    </row>
    <row r="144" spans="1:15">
      <c r="A144" s="105">
        <v>2013</v>
      </c>
      <c r="B144" s="105" t="str">
        <f>INDEX(PARCELLAIRE!$B$2:$B$29,MATCH(UTILISATIONS!C144,PARCELLAIRE!$D$2:$D$29,0))</f>
        <v>TOURNESOL</v>
      </c>
      <c r="C144" s="105" t="s">
        <v>157</v>
      </c>
      <c r="D144" s="106">
        <v>41344</v>
      </c>
      <c r="E144" s="105" t="s">
        <v>16</v>
      </c>
      <c r="F144" s="105" t="s">
        <v>69</v>
      </c>
      <c r="G144" s="105" t="str">
        <f>VLOOKUP(E144,ACHATS!$C:$D,2,0)</f>
        <v>DESHERBANT</v>
      </c>
      <c r="H144" s="105">
        <v>2</v>
      </c>
      <c r="I144" s="107">
        <f>VLOOKUP(C144,PARCELLAIRE!$D$2:$F$29,3,0)</f>
        <v>5.26</v>
      </c>
      <c r="J144" s="107">
        <f t="shared" si="10"/>
        <v>10.52</v>
      </c>
      <c r="K144" s="107">
        <f>VLOOKUP(E144,'COUT MOYEN'!$B$1:$E$71,4,0)</f>
        <v>4.9381521739130436</v>
      </c>
      <c r="L144" s="108">
        <f t="shared" si="9"/>
        <v>51.949360869565218</v>
      </c>
      <c r="M144" s="108"/>
      <c r="N144" s="63" t="str">
        <f t="shared" si="11"/>
        <v>L'Aule métairie</v>
      </c>
      <c r="O144" s="172">
        <f>SUMPRODUCT(--(PARCELLAIRE!H$2:H$58=UTILISATIONS!N144))</f>
        <v>1</v>
      </c>
    </row>
    <row r="145" spans="1:15">
      <c r="A145" s="105">
        <v>2013</v>
      </c>
      <c r="B145" s="105" t="str">
        <f>INDEX(PARCELLAIRE!$B$2:$B$29,MATCH(UTILISATIONS!C145,PARCELLAIRE!$D$2:$D$29,0))</f>
        <v>TOURNESOL</v>
      </c>
      <c r="C145" s="105" t="s">
        <v>164</v>
      </c>
      <c r="D145" s="106">
        <v>41344</v>
      </c>
      <c r="E145" s="105" t="s">
        <v>16</v>
      </c>
      <c r="F145" s="105" t="s">
        <v>69</v>
      </c>
      <c r="G145" s="105" t="str">
        <f>VLOOKUP(E145,ACHATS!$C:$D,2,0)</f>
        <v>DESHERBANT</v>
      </c>
      <c r="H145" s="110">
        <v>1.5</v>
      </c>
      <c r="I145" s="107">
        <f>VLOOKUP(C145,PARCELLAIRE!$D$2:$F$29,3,0)</f>
        <v>21.88</v>
      </c>
      <c r="J145" s="107">
        <f t="shared" si="10"/>
        <v>32.82</v>
      </c>
      <c r="K145" s="107">
        <f>VLOOKUP(E145,'COUT MOYEN'!$B$1:$E$71,4,0)</f>
        <v>4.9381521739130436</v>
      </c>
      <c r="L145" s="108">
        <f t="shared" si="9"/>
        <v>162.0701543478261</v>
      </c>
      <c r="M145" s="108"/>
      <c r="N145" s="63" t="str">
        <f t="shared" si="11"/>
        <v>Moulin Barthes</v>
      </c>
      <c r="O145" s="172">
        <f>SUMPRODUCT(--(PARCELLAIRE!H$2:H$58=UTILISATIONS!N145))</f>
        <v>0</v>
      </c>
    </row>
    <row r="146" spans="1:15">
      <c r="A146" s="105">
        <v>2013</v>
      </c>
      <c r="B146" s="105" t="str">
        <f>INDEX(PARCELLAIRE!$B$2:$B$29,MATCH(UTILISATIONS!C146,PARCELLAIRE!$D$2:$D$29,0))</f>
        <v>TOURNESOL</v>
      </c>
      <c r="C146" s="105" t="s">
        <v>143</v>
      </c>
      <c r="D146" s="106">
        <v>41344</v>
      </c>
      <c r="E146" s="105" t="s">
        <v>16</v>
      </c>
      <c r="F146" s="105" t="s">
        <v>69</v>
      </c>
      <c r="G146" s="105" t="str">
        <f>VLOOKUP(E146,ACHATS!$C:$D,2,0)</f>
        <v>DESHERBANT</v>
      </c>
      <c r="H146" s="110">
        <v>1.5</v>
      </c>
      <c r="I146" s="107">
        <f>VLOOKUP(C146,PARCELLAIRE!$D$2:$F$29,3,0)</f>
        <v>5.17</v>
      </c>
      <c r="J146" s="107">
        <f t="shared" si="10"/>
        <v>7.7549999999999999</v>
      </c>
      <c r="K146" s="107">
        <f>VLOOKUP(E146,'COUT MOYEN'!$B$1:$E$71,4,0)</f>
        <v>4.9381521739130436</v>
      </c>
      <c r="L146" s="108">
        <f t="shared" si="9"/>
        <v>38.29537010869565</v>
      </c>
      <c r="M146" s="108"/>
      <c r="N146" s="63" t="str">
        <f t="shared" si="11"/>
        <v>Andres</v>
      </c>
      <c r="O146" s="172">
        <f>SUMPRODUCT(--(PARCELLAIRE!H$2:H$58=UTILISATIONS!N146))</f>
        <v>0</v>
      </c>
    </row>
    <row r="147" spans="1:15">
      <c r="A147" s="110">
        <v>2013</v>
      </c>
      <c r="B147" s="105" t="str">
        <f>INDEX(PARCELLAIRE!$B$2:$B$29,MATCH(UTILISATIONS!C147,PARCELLAIRE!$D$2:$D$29,0))</f>
        <v>SORGHO</v>
      </c>
      <c r="C147" s="110" t="s">
        <v>149</v>
      </c>
      <c r="D147" s="106">
        <v>41344</v>
      </c>
      <c r="E147" s="110" t="s">
        <v>25</v>
      </c>
      <c r="F147" s="110" t="s">
        <v>69</v>
      </c>
      <c r="G147" s="105" t="str">
        <f>VLOOKUP(E147,ACHATS!$C:$D,2,0)</f>
        <v>DIVERS</v>
      </c>
      <c r="H147" s="107">
        <v>0.2</v>
      </c>
      <c r="I147" s="107">
        <f>VLOOKUP(C147,PARCELLAIRE!$D$2:$F$29,3,0)</f>
        <v>10.93</v>
      </c>
      <c r="J147" s="107">
        <f t="shared" si="10"/>
        <v>2.1859999999999999</v>
      </c>
      <c r="K147" s="107">
        <f>VLOOKUP(E147,'COUT MOYEN'!$B$1:$E$71,4,0)</f>
        <v>11.01</v>
      </c>
      <c r="L147" s="108">
        <f t="shared" si="9"/>
        <v>24.06786</v>
      </c>
      <c r="M147" s="108"/>
      <c r="N147" s="63" t="str">
        <f t="shared" si="11"/>
        <v>Engleyse métairie</v>
      </c>
      <c r="O147" s="172">
        <f>SUMPRODUCT(--(PARCELLAIRE!H$2:H$58=UTILISATIONS!N147))</f>
        <v>0</v>
      </c>
    </row>
    <row r="148" spans="1:15">
      <c r="A148" s="105">
        <v>2013</v>
      </c>
      <c r="B148" s="105" t="str">
        <f>INDEX(PARCELLAIRE!$B$2:$B$29,MATCH(UTILISATIONS!C148,PARCELLAIRE!$D$2:$D$29,0))</f>
        <v xml:space="preserve">BLE DUR </v>
      </c>
      <c r="C148" s="105" t="s">
        <v>174</v>
      </c>
      <c r="D148" s="106">
        <v>41347</v>
      </c>
      <c r="E148" s="105" t="s">
        <v>14</v>
      </c>
      <c r="F148" s="105" t="s">
        <v>68</v>
      </c>
      <c r="G148" s="105" t="str">
        <f>VLOOKUP(E148,ACHATS!$C:$D,2,0)</f>
        <v>ENGRAIS</v>
      </c>
      <c r="H148" s="107">
        <v>190</v>
      </c>
      <c r="I148" s="107">
        <f>VLOOKUP(C148,PARCELLAIRE!$D$2:$F$29,3,0)</f>
        <v>12.49</v>
      </c>
      <c r="J148" s="107">
        <f t="shared" si="10"/>
        <v>2373.1</v>
      </c>
      <c r="K148" s="107">
        <f>VLOOKUP(E148,'COUT MOYEN'!$B$1:$E$71,4,0)</f>
        <v>0.41883673469387755</v>
      </c>
      <c r="L148" s="108">
        <f t="shared" si="9"/>
        <v>993.94145510204078</v>
      </c>
      <c r="M148" s="108"/>
      <c r="N148" s="63" t="str">
        <f t="shared" si="11"/>
        <v>Engleyse Bousquet</v>
      </c>
      <c r="O148" s="172">
        <f>SUMPRODUCT(--(PARCELLAIRE!H$2:H$58=UTILISATIONS!N148))</f>
        <v>0</v>
      </c>
    </row>
    <row r="149" spans="1:15">
      <c r="A149" s="105">
        <v>2013</v>
      </c>
      <c r="B149" s="105" t="str">
        <f>INDEX(PARCELLAIRE!$B$2:$B$29,MATCH(UTILISATIONS!C149,PARCELLAIRE!$D$2:$D$29,0))</f>
        <v xml:space="preserve">BLE DUR </v>
      </c>
      <c r="C149" s="105" t="s">
        <v>170</v>
      </c>
      <c r="D149" s="109">
        <v>41347</v>
      </c>
      <c r="E149" s="105" t="s">
        <v>14</v>
      </c>
      <c r="F149" s="105" t="s">
        <v>68</v>
      </c>
      <c r="G149" s="105" t="str">
        <f>VLOOKUP(E149,ACHATS!$C:$D,2,0)</f>
        <v>ENGRAIS</v>
      </c>
      <c r="H149" s="107">
        <v>180</v>
      </c>
      <c r="I149" s="107">
        <f>VLOOKUP(C149,PARCELLAIRE!$D$2:$F$29,3,0)</f>
        <v>1.26</v>
      </c>
      <c r="J149" s="107">
        <f t="shared" si="10"/>
        <v>226.8</v>
      </c>
      <c r="K149" s="107">
        <f>VLOOKUP(E149,'COUT MOYEN'!$B$1:$E$71,4,0)</f>
        <v>0.41883673469387755</v>
      </c>
      <c r="L149" s="108">
        <f t="shared" si="9"/>
        <v>94.992171428571439</v>
      </c>
      <c r="M149" s="108"/>
      <c r="N149" s="63" t="str">
        <f t="shared" si="11"/>
        <v>Seillonne</v>
      </c>
      <c r="O149" s="172">
        <f>SUMPRODUCT(--(PARCELLAIRE!H$2:H$58=UTILISATIONS!N149))</f>
        <v>0</v>
      </c>
    </row>
    <row r="150" spans="1:15">
      <c r="A150" s="105">
        <v>2013</v>
      </c>
      <c r="B150" s="105" t="str">
        <f>INDEX(PARCELLAIRE!$B$2:$B$29,MATCH(UTILISATIONS!C150,PARCELLAIRE!$D$2:$D$29,0))</f>
        <v xml:space="preserve">BLE DUR </v>
      </c>
      <c r="C150" s="105" t="s">
        <v>172</v>
      </c>
      <c r="D150" s="109">
        <v>41347</v>
      </c>
      <c r="E150" s="105" t="s">
        <v>14</v>
      </c>
      <c r="F150" s="105" t="s">
        <v>68</v>
      </c>
      <c r="G150" s="105" t="str">
        <f>VLOOKUP(E150,ACHATS!$C:$D,2,0)</f>
        <v>ENGRAIS</v>
      </c>
      <c r="H150" s="107">
        <v>180</v>
      </c>
      <c r="I150" s="107">
        <f>VLOOKUP(C150,PARCELLAIRE!$D$2:$F$29,3,0)</f>
        <v>16.440000000000001</v>
      </c>
      <c r="J150" s="107">
        <f t="shared" si="10"/>
        <v>2959.2000000000003</v>
      </c>
      <c r="K150" s="107">
        <f>VLOOKUP(E150,'COUT MOYEN'!$B$1:$E$71,4,0)</f>
        <v>0.41883673469387755</v>
      </c>
      <c r="L150" s="108">
        <f t="shared" si="9"/>
        <v>1239.4216653061226</v>
      </c>
      <c r="M150" s="108"/>
      <c r="N150" s="63" t="str">
        <f t="shared" si="11"/>
        <v>Lescandes Côteau</v>
      </c>
      <c r="O150" s="172">
        <f>SUMPRODUCT(--(PARCELLAIRE!H$2:H$58=UTILISATIONS!N150))</f>
        <v>0</v>
      </c>
    </row>
    <row r="151" spans="1:15">
      <c r="A151" s="105">
        <v>2013</v>
      </c>
      <c r="B151" s="105" t="str">
        <f>INDEX(PARCELLAIRE!$B$2:$B$29,MATCH(UTILISATIONS!C151,PARCELLAIRE!$D$2:$D$29,0))</f>
        <v xml:space="preserve">BLE DUR </v>
      </c>
      <c r="C151" s="105" t="s">
        <v>162</v>
      </c>
      <c r="D151" s="109">
        <v>41347</v>
      </c>
      <c r="E151" s="105" t="s">
        <v>14</v>
      </c>
      <c r="F151" s="105" t="s">
        <v>68</v>
      </c>
      <c r="G151" s="105" t="str">
        <f>VLOOKUP(E151,ACHATS!$C:$D,2,0)</f>
        <v>ENGRAIS</v>
      </c>
      <c r="H151" s="107">
        <v>180</v>
      </c>
      <c r="I151" s="107">
        <f>VLOOKUP(C151,PARCELLAIRE!$D$2:$F$29,3,0)</f>
        <v>2.67</v>
      </c>
      <c r="J151" s="107">
        <f t="shared" si="10"/>
        <v>480.59999999999997</v>
      </c>
      <c r="K151" s="107">
        <f>VLOOKUP(E151,'COUT MOYEN'!$B$1:$E$71,4,0)</f>
        <v>0.41883673469387755</v>
      </c>
      <c r="L151" s="108">
        <f t="shared" si="9"/>
        <v>201.29293469387753</v>
      </c>
      <c r="M151" s="108"/>
      <c r="N151" s="63" t="str">
        <f t="shared" si="11"/>
        <v>Lescandes</v>
      </c>
      <c r="O151" s="172">
        <f>SUMPRODUCT(--(PARCELLAIRE!H$2:H$58=UTILISATIONS!N151))</f>
        <v>0</v>
      </c>
    </row>
    <row r="152" spans="1:15">
      <c r="A152" s="105">
        <v>2013</v>
      </c>
      <c r="B152" s="105" t="str">
        <f>INDEX(PARCELLAIRE!$B$2:$B$29,MATCH(UTILISATIONS!C152,PARCELLAIRE!$D$2:$D$29,0))</f>
        <v xml:space="preserve">BLE DUR </v>
      </c>
      <c r="C152" s="105" t="s">
        <v>161</v>
      </c>
      <c r="D152" s="109">
        <v>41347</v>
      </c>
      <c r="E152" s="105" t="s">
        <v>14</v>
      </c>
      <c r="F152" s="105" t="s">
        <v>68</v>
      </c>
      <c r="G152" s="105" t="str">
        <f>VLOOKUP(E152,ACHATS!$C:$D,2,0)</f>
        <v>ENGRAIS</v>
      </c>
      <c r="H152" s="107">
        <v>180</v>
      </c>
      <c r="I152" s="107">
        <f>VLOOKUP(C152,PARCELLAIRE!$D$2:$F$29,3,0)</f>
        <v>5.07</v>
      </c>
      <c r="J152" s="107">
        <f t="shared" si="10"/>
        <v>912.6</v>
      </c>
      <c r="K152" s="107">
        <f>VLOOKUP(E152,'COUT MOYEN'!$B$1:$E$71,4,0)</f>
        <v>0.41883673469387755</v>
      </c>
      <c r="L152" s="108">
        <f t="shared" si="9"/>
        <v>382.23040408163268</v>
      </c>
      <c r="M152" s="108"/>
      <c r="N152" s="63" t="str">
        <f t="shared" si="11"/>
        <v>Laclos</v>
      </c>
      <c r="O152" s="172">
        <f>SUMPRODUCT(--(PARCELLAIRE!H$2:H$58=UTILISATIONS!N152))</f>
        <v>0</v>
      </c>
    </row>
    <row r="153" spans="1:15">
      <c r="A153" s="105">
        <v>2013</v>
      </c>
      <c r="B153" s="105" t="str">
        <f>INDEX(PARCELLAIRE!$B$2:$B$29,MATCH(UTILISATIONS!C153,PARCELLAIRE!$D$2:$D$29,0))</f>
        <v>BLE TENDRE</v>
      </c>
      <c r="C153" s="105" t="s">
        <v>160</v>
      </c>
      <c r="D153" s="109">
        <v>41347</v>
      </c>
      <c r="E153" s="105" t="s">
        <v>14</v>
      </c>
      <c r="F153" s="105" t="s">
        <v>68</v>
      </c>
      <c r="G153" s="105" t="str">
        <f>VLOOKUP(E153,ACHATS!$C:$D,2,0)</f>
        <v>ENGRAIS</v>
      </c>
      <c r="H153" s="107">
        <v>180</v>
      </c>
      <c r="I153" s="107">
        <f>VLOOKUP(C153,PARCELLAIRE!$D$2:$F$29,3,0)</f>
        <v>17.55</v>
      </c>
      <c r="J153" s="107">
        <f t="shared" si="10"/>
        <v>3159</v>
      </c>
      <c r="K153" s="107">
        <f>VLOOKUP(E153,'COUT MOYEN'!$B$1:$E$71,4,0)</f>
        <v>0.41883673469387755</v>
      </c>
      <c r="L153" s="108">
        <f t="shared" si="9"/>
        <v>1323.1052448979592</v>
      </c>
      <c r="M153" s="108"/>
      <c r="N153" s="63" t="str">
        <f t="shared" si="11"/>
        <v>Labaou Plaine</v>
      </c>
      <c r="O153" s="172">
        <f>SUMPRODUCT(--(PARCELLAIRE!H$2:H$58=UTILISATIONS!N153))</f>
        <v>1</v>
      </c>
    </row>
    <row r="154" spans="1:15">
      <c r="A154" s="105">
        <v>2013</v>
      </c>
      <c r="B154" s="105" t="str">
        <f>INDEX(PARCELLAIRE!$B$2:$B$29,MATCH(UTILISATIONS!C154,PARCELLAIRE!$D$2:$D$29,0))</f>
        <v xml:space="preserve">BLE DUR </v>
      </c>
      <c r="C154" s="105" t="s">
        <v>151</v>
      </c>
      <c r="D154" s="109">
        <v>41347</v>
      </c>
      <c r="E154" s="105" t="s">
        <v>14</v>
      </c>
      <c r="F154" s="105" t="s">
        <v>68</v>
      </c>
      <c r="G154" s="105" t="str">
        <f>VLOOKUP(E154,ACHATS!$C:$D,2,0)</f>
        <v>ENGRAIS</v>
      </c>
      <c r="H154" s="107">
        <v>180</v>
      </c>
      <c r="I154" s="107">
        <f>VLOOKUP(C154,PARCELLAIRE!$D$2:$F$29,3,0)</f>
        <v>7.58</v>
      </c>
      <c r="J154" s="107">
        <f t="shared" si="10"/>
        <v>1364.4</v>
      </c>
      <c r="K154" s="107">
        <f>VLOOKUP(E154,'COUT MOYEN'!$B$1:$E$71,4,0)</f>
        <v>0.41883673469387755</v>
      </c>
      <c r="L154" s="108">
        <f t="shared" si="9"/>
        <v>571.46084081632659</v>
      </c>
      <c r="M154" s="108"/>
      <c r="N154" s="63" t="str">
        <f t="shared" si="11"/>
        <v>Escarcelou</v>
      </c>
      <c r="O154" s="172">
        <f>SUMPRODUCT(--(PARCELLAIRE!H$2:H$58=UTILISATIONS!N154))</f>
        <v>0</v>
      </c>
    </row>
    <row r="155" spans="1:15">
      <c r="A155" s="105">
        <v>2013</v>
      </c>
      <c r="B155" s="105" t="str">
        <f>INDEX(PARCELLAIRE!$B$2:$B$29,MATCH(UTILISATIONS!C155,PARCELLAIRE!$D$2:$D$29,0))</f>
        <v xml:space="preserve">BLE DUR </v>
      </c>
      <c r="C155" s="105" t="s">
        <v>176</v>
      </c>
      <c r="D155" s="109">
        <v>41347</v>
      </c>
      <c r="E155" s="105" t="s">
        <v>14</v>
      </c>
      <c r="F155" s="105" t="s">
        <v>68</v>
      </c>
      <c r="G155" s="105" t="str">
        <f>VLOOKUP(E155,ACHATS!$C:$D,2,0)</f>
        <v>ENGRAIS</v>
      </c>
      <c r="H155" s="107">
        <v>180</v>
      </c>
      <c r="I155" s="107">
        <f>VLOOKUP(C155,PARCELLAIRE!$D$2:$F$29,3,0)</f>
        <v>11.9</v>
      </c>
      <c r="J155" s="107">
        <f t="shared" si="10"/>
        <v>2142</v>
      </c>
      <c r="K155" s="107">
        <f>VLOOKUP(E155,'COUT MOYEN'!$B$1:$E$71,4,0)</f>
        <v>0.41883673469387755</v>
      </c>
      <c r="L155" s="108">
        <f t="shared" si="9"/>
        <v>897.14828571428575</v>
      </c>
      <c r="M155" s="108"/>
      <c r="N155" s="63" t="str">
        <f t="shared" si="11"/>
        <v>Labaou Devant</v>
      </c>
      <c r="O155" s="172">
        <f>SUMPRODUCT(--(PARCELLAIRE!H$2:H$58=UTILISATIONS!N155))</f>
        <v>0</v>
      </c>
    </row>
    <row r="156" spans="1:15">
      <c r="A156" s="105">
        <v>2013</v>
      </c>
      <c r="B156" s="105" t="str">
        <f>INDEX(PARCELLAIRE!$B$2:$B$29,MATCH(UTILISATIONS!C156,PARCELLAIRE!$D$2:$D$29,0))</f>
        <v xml:space="preserve">BLE DUR </v>
      </c>
      <c r="C156" s="105" t="s">
        <v>153</v>
      </c>
      <c r="D156" s="109">
        <v>41347</v>
      </c>
      <c r="E156" s="105" t="s">
        <v>14</v>
      </c>
      <c r="F156" s="105" t="s">
        <v>68</v>
      </c>
      <c r="G156" s="105" t="str">
        <f>VLOOKUP(E156,ACHATS!$C:$D,2,0)</f>
        <v>ENGRAIS</v>
      </c>
      <c r="H156" s="107">
        <v>180</v>
      </c>
      <c r="I156" s="107">
        <f>VLOOKUP(C156,PARCELLAIRE!$D$2:$F$29,3,0)</f>
        <v>7.5</v>
      </c>
      <c r="J156" s="107">
        <f t="shared" si="10"/>
        <v>1350</v>
      </c>
      <c r="K156" s="107">
        <f>VLOOKUP(E156,'COUT MOYEN'!$B$1:$E$71,4,0)</f>
        <v>0.41883673469387755</v>
      </c>
      <c r="L156" s="108">
        <f t="shared" si="9"/>
        <v>565.42959183673474</v>
      </c>
      <c r="M156" s="108"/>
      <c r="N156" s="63" t="str">
        <f t="shared" si="11"/>
        <v>Escarcelou Pte</v>
      </c>
      <c r="O156" s="172">
        <f>SUMPRODUCT(--(PARCELLAIRE!H$2:H$58=UTILISATIONS!N156))</f>
        <v>0</v>
      </c>
    </row>
    <row r="157" spans="1:15">
      <c r="A157" s="105">
        <v>2013</v>
      </c>
      <c r="B157" s="105" t="str">
        <f>INDEX(PARCELLAIRE!$B$2:$B$29,MATCH(UTILISATIONS!C157,PARCELLAIRE!$D$2:$D$29,0))</f>
        <v xml:space="preserve">BLE DUR </v>
      </c>
      <c r="C157" s="105" t="s">
        <v>147</v>
      </c>
      <c r="D157" s="109">
        <v>41347</v>
      </c>
      <c r="E157" s="105" t="s">
        <v>14</v>
      </c>
      <c r="F157" s="105" t="s">
        <v>68</v>
      </c>
      <c r="G157" s="105" t="str">
        <f>VLOOKUP(E157,ACHATS!$C:$D,2,0)</f>
        <v>ENGRAIS</v>
      </c>
      <c r="H157" s="107">
        <v>180</v>
      </c>
      <c r="I157" s="107">
        <f>VLOOKUP(C157,PARCELLAIRE!$D$2:$F$29,3,0)</f>
        <v>5.67</v>
      </c>
      <c r="J157" s="107">
        <f t="shared" si="10"/>
        <v>1020.6</v>
      </c>
      <c r="K157" s="107">
        <f>VLOOKUP(E157,'COUT MOYEN'!$B$1:$E$71,4,0)</f>
        <v>0.41883673469387755</v>
      </c>
      <c r="L157" s="108">
        <f t="shared" si="9"/>
        <v>427.46477142857145</v>
      </c>
      <c r="M157" s="108"/>
      <c r="N157" s="63" t="str">
        <f t="shared" si="11"/>
        <v>Bousquet Route</v>
      </c>
      <c r="O157" s="172">
        <f>SUMPRODUCT(--(PARCELLAIRE!H$2:H$58=UTILISATIONS!N157))</f>
        <v>0</v>
      </c>
    </row>
    <row r="158" spans="1:15">
      <c r="A158" s="105">
        <v>2013</v>
      </c>
      <c r="B158" s="105" t="str">
        <f>INDEX(PARCELLAIRE!$B$2:$B$29,MATCH(UTILISATIONS!C158,PARCELLAIRE!$D$2:$D$29,0))</f>
        <v xml:space="preserve">BLE DUR </v>
      </c>
      <c r="C158" s="105" t="s">
        <v>144</v>
      </c>
      <c r="D158" s="109">
        <v>41347</v>
      </c>
      <c r="E158" s="105" t="s">
        <v>14</v>
      </c>
      <c r="F158" s="105" t="s">
        <v>68</v>
      </c>
      <c r="G158" s="105" t="str">
        <f>VLOOKUP(E158,ACHATS!$C:$D,2,0)</f>
        <v>ENGRAIS</v>
      </c>
      <c r="H158" s="107">
        <v>180</v>
      </c>
      <c r="I158" s="107">
        <f>VLOOKUP(C158,PARCELLAIRE!$D$2:$F$29,3,0)</f>
        <v>5.27</v>
      </c>
      <c r="J158" s="107">
        <f t="shared" si="10"/>
        <v>948.59999999999991</v>
      </c>
      <c r="K158" s="107">
        <f>VLOOKUP(E158,'COUT MOYEN'!$B$1:$E$71,4,0)</f>
        <v>0.41883673469387755</v>
      </c>
      <c r="L158" s="108">
        <f t="shared" si="9"/>
        <v>397.3085265306122</v>
      </c>
      <c r="M158" s="108"/>
      <c r="N158" s="63" t="str">
        <f t="shared" si="11"/>
        <v>Bousquet Château</v>
      </c>
      <c r="O158" s="172">
        <f>SUMPRODUCT(--(PARCELLAIRE!H$2:H$58=UTILISATIONS!N158))</f>
        <v>0</v>
      </c>
    </row>
    <row r="159" spans="1:15">
      <c r="A159" s="110">
        <v>2013</v>
      </c>
      <c r="B159" s="105" t="str">
        <f>INDEX(PARCELLAIRE!$B$2:$B$29,MATCH(UTILISATIONS!C159,PARCELLAIRE!$D$2:$D$29,0))</f>
        <v xml:space="preserve">BLE DUR </v>
      </c>
      <c r="C159" s="110" t="s">
        <v>152</v>
      </c>
      <c r="D159" s="109">
        <v>41347</v>
      </c>
      <c r="E159" s="110" t="s">
        <v>14</v>
      </c>
      <c r="F159" s="110" t="s">
        <v>68</v>
      </c>
      <c r="G159" s="105" t="str">
        <f>VLOOKUP(E159,ACHATS!$C:$D,2,0)</f>
        <v>ENGRAIS</v>
      </c>
      <c r="H159" s="111">
        <v>180</v>
      </c>
      <c r="I159" s="107">
        <f>VLOOKUP(C159,PARCELLAIRE!$D$2:$F$29,3,0)</f>
        <v>1.34</v>
      </c>
      <c r="J159" s="107">
        <f t="shared" si="10"/>
        <v>241.20000000000002</v>
      </c>
      <c r="K159" s="107">
        <f>VLOOKUP(E159,'COUT MOYEN'!$B$1:$E$71,4,0)</f>
        <v>0.41883673469387755</v>
      </c>
      <c r="L159" s="112">
        <v>565.42999999999995</v>
      </c>
      <c r="M159" s="112"/>
      <c r="N159" s="63" t="str">
        <f t="shared" si="11"/>
        <v>Escarcelou Jachère</v>
      </c>
      <c r="O159" s="172">
        <f>SUMPRODUCT(--(PARCELLAIRE!H$2:H$58=UTILISATIONS!N159))</f>
        <v>0</v>
      </c>
    </row>
    <row r="160" spans="1:15">
      <c r="A160" s="105">
        <v>2013</v>
      </c>
      <c r="B160" s="105" t="str">
        <f>INDEX(PARCELLAIRE!$B$2:$B$29,MATCH(UTILISATIONS!C160,PARCELLAIRE!$D$2:$D$29,0))</f>
        <v xml:space="preserve">BLE DUR </v>
      </c>
      <c r="C160" s="105" t="s">
        <v>151</v>
      </c>
      <c r="D160" s="106">
        <v>41352</v>
      </c>
      <c r="E160" s="105" t="s">
        <v>28</v>
      </c>
      <c r="F160" s="105" t="s">
        <v>69</v>
      </c>
      <c r="G160" s="105" t="str">
        <f>VLOOKUP(E160,ACHATS!$C:$D,2,0)</f>
        <v>DIVERS</v>
      </c>
      <c r="H160" s="107">
        <v>3</v>
      </c>
      <c r="I160" s="107">
        <f>VLOOKUP(C160,PARCELLAIRE!$D$2:$F$29,3,0)</f>
        <v>7.58</v>
      </c>
      <c r="J160" s="107">
        <f t="shared" si="10"/>
        <v>22.740000000000002</v>
      </c>
      <c r="K160" s="107">
        <f>VLOOKUP(E160,'COUT MOYEN'!$B$1:$E$71,4,0)</f>
        <v>2.9</v>
      </c>
      <c r="L160" s="108">
        <f>K160*J160</f>
        <v>65.945999999999998</v>
      </c>
      <c r="M160" s="108"/>
      <c r="N160" s="63" t="str">
        <f t="shared" si="11"/>
        <v>Escarcelou</v>
      </c>
      <c r="O160" s="172">
        <f>SUMPRODUCT(--(PARCELLAIRE!H$2:H$58=UTILISATIONS!N160))</f>
        <v>0</v>
      </c>
    </row>
    <row r="161" spans="1:15">
      <c r="A161" s="105">
        <v>2013</v>
      </c>
      <c r="B161" s="105" t="str">
        <f>INDEX(PARCELLAIRE!$B$2:$B$29,MATCH(UTILISATIONS!C161,PARCELLAIRE!$D$2:$D$29,0))</f>
        <v xml:space="preserve">BLE DUR </v>
      </c>
      <c r="C161" s="105" t="s">
        <v>176</v>
      </c>
      <c r="D161" s="106">
        <v>41352</v>
      </c>
      <c r="E161" s="105" t="s">
        <v>28</v>
      </c>
      <c r="F161" s="105" t="s">
        <v>69</v>
      </c>
      <c r="G161" s="105" t="str">
        <f>VLOOKUP(E161,ACHATS!$C:$D,2,0)</f>
        <v>DIVERS</v>
      </c>
      <c r="H161" s="107">
        <v>3</v>
      </c>
      <c r="I161" s="107">
        <f>VLOOKUP(C161,PARCELLAIRE!$D$2:$F$29,3,0)</f>
        <v>11.9</v>
      </c>
      <c r="J161" s="107">
        <f t="shared" si="10"/>
        <v>35.700000000000003</v>
      </c>
      <c r="K161" s="107">
        <f>VLOOKUP(E161,'COUT MOYEN'!$B$1:$E$71,4,0)</f>
        <v>2.9</v>
      </c>
      <c r="L161" s="108">
        <f>K161*J161</f>
        <v>103.53</v>
      </c>
      <c r="M161" s="108"/>
      <c r="N161" s="63" t="str">
        <f t="shared" si="11"/>
        <v>Labaou Devant</v>
      </c>
      <c r="O161" s="172">
        <f>SUMPRODUCT(--(PARCELLAIRE!H$2:H$58=UTILISATIONS!N161))</f>
        <v>0</v>
      </c>
    </row>
    <row r="162" spans="1:15">
      <c r="A162" s="105">
        <v>2013</v>
      </c>
      <c r="B162" s="105" t="str">
        <f>INDEX(PARCELLAIRE!$B$2:$B$29,MATCH(UTILISATIONS!C162,PARCELLAIRE!$D$2:$D$29,0))</f>
        <v xml:space="preserve">BLE DUR </v>
      </c>
      <c r="C162" s="105" t="s">
        <v>153</v>
      </c>
      <c r="D162" s="106">
        <v>41352</v>
      </c>
      <c r="E162" s="105" t="s">
        <v>28</v>
      </c>
      <c r="F162" s="105" t="s">
        <v>69</v>
      </c>
      <c r="G162" s="105" t="str">
        <f>VLOOKUP(E162,ACHATS!$C:$D,2,0)</f>
        <v>DIVERS</v>
      </c>
      <c r="H162" s="107">
        <v>3</v>
      </c>
      <c r="I162" s="107">
        <f>VLOOKUP(C162,PARCELLAIRE!$D$2:$F$29,3,0)</f>
        <v>7.5</v>
      </c>
      <c r="J162" s="107">
        <f t="shared" si="10"/>
        <v>22.5</v>
      </c>
      <c r="K162" s="107">
        <f>VLOOKUP(E162,'COUT MOYEN'!$B$1:$E$71,4,0)</f>
        <v>2.9</v>
      </c>
      <c r="L162" s="108">
        <f>K162*J162</f>
        <v>65.25</v>
      </c>
      <c r="M162" s="108"/>
      <c r="N162" s="63" t="str">
        <f t="shared" si="11"/>
        <v>Escarcelou Pte</v>
      </c>
      <c r="O162" s="172">
        <f>SUMPRODUCT(--(PARCELLAIRE!H$2:H$58=UTILISATIONS!N162))</f>
        <v>0</v>
      </c>
    </row>
    <row r="163" spans="1:15">
      <c r="A163" s="105">
        <v>2013</v>
      </c>
      <c r="B163" s="105" t="str">
        <f>INDEX(PARCELLAIRE!$B$2:$B$29,MATCH(UTILISATIONS!C163,PARCELLAIRE!$D$2:$D$29,0))</f>
        <v xml:space="preserve">BLE DUR </v>
      </c>
      <c r="C163" s="105" t="s">
        <v>162</v>
      </c>
      <c r="D163" s="106">
        <v>41352</v>
      </c>
      <c r="E163" s="105" t="s">
        <v>28</v>
      </c>
      <c r="F163" s="105" t="s">
        <v>69</v>
      </c>
      <c r="G163" s="105" t="str">
        <f>VLOOKUP(E163,ACHATS!$C:$D,2,0)</f>
        <v>DIVERS</v>
      </c>
      <c r="H163" s="107">
        <v>3</v>
      </c>
      <c r="I163" s="107">
        <f>VLOOKUP(C163,PARCELLAIRE!$D$2:$F$29,3,0)</f>
        <v>2.67</v>
      </c>
      <c r="J163" s="107">
        <f t="shared" si="10"/>
        <v>8.01</v>
      </c>
      <c r="K163" s="107">
        <f>VLOOKUP(E163,'COUT MOYEN'!$B$1:$E$71,4,0)</f>
        <v>2.9</v>
      </c>
      <c r="L163" s="108">
        <f>K163*J163</f>
        <v>23.228999999999999</v>
      </c>
      <c r="M163" s="108"/>
      <c r="N163" s="63" t="str">
        <f t="shared" si="11"/>
        <v>Lescandes</v>
      </c>
      <c r="O163" s="172">
        <f>SUMPRODUCT(--(PARCELLAIRE!H$2:H$58=UTILISATIONS!N163))</f>
        <v>0</v>
      </c>
    </row>
    <row r="164" spans="1:15">
      <c r="A164" s="105">
        <v>2013</v>
      </c>
      <c r="B164" s="105" t="str">
        <f>INDEX(PARCELLAIRE!$B$2:$B$29,MATCH(UTILISATIONS!C164,PARCELLAIRE!$D$2:$D$29,0))</f>
        <v xml:space="preserve">BLE DUR </v>
      </c>
      <c r="C164" s="105" t="s">
        <v>172</v>
      </c>
      <c r="D164" s="106">
        <v>41352</v>
      </c>
      <c r="E164" s="105" t="s">
        <v>28</v>
      </c>
      <c r="F164" s="105" t="s">
        <v>69</v>
      </c>
      <c r="G164" s="105" t="str">
        <f>VLOOKUP(E164,ACHATS!$C:$D,2,0)</f>
        <v>DIVERS</v>
      </c>
      <c r="H164" s="107">
        <v>3</v>
      </c>
      <c r="I164" s="107">
        <f>VLOOKUP(C164,PARCELLAIRE!$D$2:$F$29,3,0)</f>
        <v>16.440000000000001</v>
      </c>
      <c r="J164" s="107">
        <f t="shared" si="10"/>
        <v>49.320000000000007</v>
      </c>
      <c r="K164" s="107">
        <f>VLOOKUP(E164,'COUT MOYEN'!$B$1:$E$71,4,0)</f>
        <v>2.9</v>
      </c>
      <c r="L164" s="108">
        <f>K164*J164</f>
        <v>143.02800000000002</v>
      </c>
      <c r="M164" s="108"/>
      <c r="N164" s="63" t="str">
        <f t="shared" si="11"/>
        <v>Lescandes Côteau</v>
      </c>
      <c r="O164" s="172">
        <f>SUMPRODUCT(--(PARCELLAIRE!H$2:H$58=UTILISATIONS!N164))</f>
        <v>0</v>
      </c>
    </row>
    <row r="165" spans="1:15">
      <c r="A165" s="110">
        <v>2013</v>
      </c>
      <c r="B165" s="105" t="str">
        <f>INDEX(PARCELLAIRE!$B$2:$B$29,MATCH(UTILISATIONS!C165,PARCELLAIRE!$D$2:$D$29,0))</f>
        <v xml:space="preserve">BLE DUR </v>
      </c>
      <c r="C165" s="110" t="s">
        <v>152</v>
      </c>
      <c r="D165" s="109">
        <v>41352</v>
      </c>
      <c r="E165" s="110" t="s">
        <v>28</v>
      </c>
      <c r="F165" s="110" t="s">
        <v>69</v>
      </c>
      <c r="G165" s="105" t="str">
        <f>VLOOKUP(E165,ACHATS!$C:$D,2,0)</f>
        <v>DIVERS</v>
      </c>
      <c r="H165" s="111">
        <v>3</v>
      </c>
      <c r="I165" s="107">
        <f>VLOOKUP(C165,PARCELLAIRE!$D$2:$F$29,3,0)</f>
        <v>1.34</v>
      </c>
      <c r="J165" s="107">
        <f t="shared" si="10"/>
        <v>4.0200000000000005</v>
      </c>
      <c r="K165" s="107">
        <f>VLOOKUP(E165,'COUT MOYEN'!$B$1:$E$71,4,0)</f>
        <v>2.9</v>
      </c>
      <c r="L165" s="112">
        <v>65.25</v>
      </c>
      <c r="M165" s="112"/>
      <c r="N165" s="63" t="str">
        <f t="shared" si="11"/>
        <v>Escarcelou Jachère</v>
      </c>
      <c r="O165" s="172">
        <f>SUMPRODUCT(--(PARCELLAIRE!H$2:H$58=UTILISATIONS!N165))</f>
        <v>0</v>
      </c>
    </row>
    <row r="166" spans="1:15">
      <c r="A166" s="105">
        <v>2013</v>
      </c>
      <c r="B166" s="105" t="str">
        <f>INDEX(PARCELLAIRE!$B$2:$B$29,MATCH(UTILISATIONS!C166,PARCELLAIRE!$D$2:$D$29,0))</f>
        <v xml:space="preserve">BLE DUR </v>
      </c>
      <c r="C166" s="105" t="s">
        <v>162</v>
      </c>
      <c r="D166" s="106">
        <v>41354</v>
      </c>
      <c r="E166" s="105" t="s">
        <v>22</v>
      </c>
      <c r="F166" s="105" t="s">
        <v>70</v>
      </c>
      <c r="G166" s="105" t="str">
        <f>VLOOKUP(E166,ACHATS!$C:$D,2,0)</f>
        <v>DESHERBANT</v>
      </c>
      <c r="H166" s="107">
        <v>20</v>
      </c>
      <c r="I166" s="107">
        <f>VLOOKUP(C166,PARCELLAIRE!$D$2:$F$29,3,0)</f>
        <v>2.67</v>
      </c>
      <c r="J166" s="107">
        <f t="shared" si="10"/>
        <v>53.4</v>
      </c>
      <c r="K166" s="107">
        <f>VLOOKUP(E166,'COUT MOYEN'!$B$1:$E$71,4,0)</f>
        <v>0.79166666666666663</v>
      </c>
      <c r="L166" s="108">
        <f t="shared" ref="L166:L211" si="12">K166*J166</f>
        <v>42.274999999999999</v>
      </c>
      <c r="M166" s="108"/>
      <c r="N166" s="63" t="str">
        <f t="shared" si="11"/>
        <v>Lescandes</v>
      </c>
      <c r="O166" s="172">
        <f>SUMPRODUCT(--(PARCELLAIRE!H$2:H$58=UTILISATIONS!N166))</f>
        <v>0</v>
      </c>
    </row>
    <row r="167" spans="1:15">
      <c r="A167" s="105">
        <v>2013</v>
      </c>
      <c r="B167" s="105" t="str">
        <f>INDEX(PARCELLAIRE!$B$2:$B$29,MATCH(UTILISATIONS!C167,PARCELLAIRE!$D$2:$D$29,0))</f>
        <v xml:space="preserve">BLE DUR </v>
      </c>
      <c r="C167" s="105" t="s">
        <v>172</v>
      </c>
      <c r="D167" s="106">
        <v>41354</v>
      </c>
      <c r="E167" s="105" t="s">
        <v>22</v>
      </c>
      <c r="F167" s="105" t="s">
        <v>70</v>
      </c>
      <c r="G167" s="105" t="str">
        <f>VLOOKUP(E167,ACHATS!$C:$D,2,0)</f>
        <v>DESHERBANT</v>
      </c>
      <c r="H167" s="107">
        <v>20</v>
      </c>
      <c r="I167" s="107">
        <f>VLOOKUP(C167,PARCELLAIRE!$D$2:$F$29,3,0)</f>
        <v>16.440000000000001</v>
      </c>
      <c r="J167" s="107">
        <f t="shared" si="10"/>
        <v>328.8</v>
      </c>
      <c r="K167" s="107">
        <f>VLOOKUP(E167,'COUT MOYEN'!$B$1:$E$71,4,0)</f>
        <v>0.79166666666666663</v>
      </c>
      <c r="L167" s="108">
        <f t="shared" si="12"/>
        <v>260.3</v>
      </c>
      <c r="M167" s="108"/>
      <c r="N167" s="63" t="str">
        <f t="shared" si="11"/>
        <v>Lescandes Côteau</v>
      </c>
      <c r="O167" s="172">
        <f>SUMPRODUCT(--(PARCELLAIRE!H$2:H$58=UTILISATIONS!N167))</f>
        <v>0</v>
      </c>
    </row>
    <row r="168" spans="1:15">
      <c r="A168" s="105">
        <v>2013</v>
      </c>
      <c r="B168" s="105" t="str">
        <f>INDEX(PARCELLAIRE!$B$2:$B$29,MATCH(UTILISATIONS!C168,PARCELLAIRE!$D$2:$D$29,0))</f>
        <v xml:space="preserve">BLE DUR </v>
      </c>
      <c r="C168" s="105" t="s">
        <v>174</v>
      </c>
      <c r="D168" s="106">
        <v>41354</v>
      </c>
      <c r="E168" s="105" t="s">
        <v>22</v>
      </c>
      <c r="F168" s="105" t="s">
        <v>70</v>
      </c>
      <c r="G168" s="105" t="str">
        <f>VLOOKUP(E168,ACHATS!$C:$D,2,0)</f>
        <v>DESHERBANT</v>
      </c>
      <c r="H168" s="107">
        <v>20</v>
      </c>
      <c r="I168" s="107">
        <f>VLOOKUP(C168,PARCELLAIRE!$D$2:$F$29,3,0)</f>
        <v>12.49</v>
      </c>
      <c r="J168" s="107">
        <f t="shared" si="10"/>
        <v>249.8</v>
      </c>
      <c r="K168" s="107">
        <f>VLOOKUP(E168,'COUT MOYEN'!$B$1:$E$71,4,0)</f>
        <v>0.79166666666666663</v>
      </c>
      <c r="L168" s="108">
        <f t="shared" si="12"/>
        <v>197.75833333333333</v>
      </c>
      <c r="M168" s="108"/>
      <c r="N168" s="63" t="str">
        <f t="shared" si="11"/>
        <v>Engleyse Bousquet</v>
      </c>
      <c r="O168" s="172">
        <f>SUMPRODUCT(--(PARCELLAIRE!H$2:H$58=UTILISATIONS!N168))</f>
        <v>0</v>
      </c>
    </row>
    <row r="169" spans="1:15">
      <c r="A169" s="105">
        <v>2013</v>
      </c>
      <c r="B169" s="105" t="str">
        <f>INDEX(PARCELLAIRE!$B$2:$B$29,MATCH(UTILISATIONS!C169,PARCELLAIRE!$D$2:$D$29,0))</f>
        <v xml:space="preserve">BLE DUR </v>
      </c>
      <c r="C169" s="105" t="s">
        <v>144</v>
      </c>
      <c r="D169" s="106">
        <v>41354</v>
      </c>
      <c r="E169" s="105" t="s">
        <v>28</v>
      </c>
      <c r="F169" s="105" t="s">
        <v>69</v>
      </c>
      <c r="G169" s="105" t="str">
        <f>VLOOKUP(E169,ACHATS!$C:$D,2,0)</f>
        <v>DIVERS</v>
      </c>
      <c r="H169" s="107">
        <v>3</v>
      </c>
      <c r="I169" s="107">
        <f>VLOOKUP(C169,PARCELLAIRE!$D$2:$F$29,3,0)</f>
        <v>5.27</v>
      </c>
      <c r="J169" s="107">
        <f t="shared" si="10"/>
        <v>15.809999999999999</v>
      </c>
      <c r="K169" s="107">
        <f>VLOOKUP(E169,'COUT MOYEN'!$B$1:$E$71,4,0)</f>
        <v>2.9</v>
      </c>
      <c r="L169" s="108">
        <f t="shared" si="12"/>
        <v>45.848999999999997</v>
      </c>
      <c r="M169" s="108"/>
      <c r="N169" s="63" t="str">
        <f t="shared" si="11"/>
        <v>Bousquet Château</v>
      </c>
      <c r="O169" s="172">
        <f>SUMPRODUCT(--(PARCELLAIRE!H$2:H$58=UTILISATIONS!N169))</f>
        <v>0</v>
      </c>
    </row>
    <row r="170" spans="1:15">
      <c r="A170" s="105">
        <v>2013</v>
      </c>
      <c r="B170" s="105" t="str">
        <f>INDEX(PARCELLAIRE!$B$2:$B$29,MATCH(UTILISATIONS!C170,PARCELLAIRE!$D$2:$D$29,0))</f>
        <v xml:space="preserve">BLE DUR </v>
      </c>
      <c r="C170" s="105" t="s">
        <v>147</v>
      </c>
      <c r="D170" s="106">
        <v>41354</v>
      </c>
      <c r="E170" s="105" t="s">
        <v>28</v>
      </c>
      <c r="F170" s="105" t="s">
        <v>69</v>
      </c>
      <c r="G170" s="105" t="str">
        <f>VLOOKUP(E170,ACHATS!$C:$D,2,0)</f>
        <v>DIVERS</v>
      </c>
      <c r="H170" s="107">
        <v>3</v>
      </c>
      <c r="I170" s="107">
        <f>VLOOKUP(C170,PARCELLAIRE!$D$2:$F$29,3,0)</f>
        <v>5.67</v>
      </c>
      <c r="J170" s="107">
        <f t="shared" si="10"/>
        <v>17.009999999999998</v>
      </c>
      <c r="K170" s="107">
        <f>VLOOKUP(E170,'COUT MOYEN'!$B$1:$E$71,4,0)</f>
        <v>2.9</v>
      </c>
      <c r="L170" s="108">
        <f t="shared" si="12"/>
        <v>49.328999999999994</v>
      </c>
      <c r="M170" s="108"/>
      <c r="N170" s="63" t="str">
        <f t="shared" si="11"/>
        <v>Bousquet Route</v>
      </c>
      <c r="O170" s="172">
        <f>SUMPRODUCT(--(PARCELLAIRE!H$2:H$58=UTILISATIONS!N170))</f>
        <v>0</v>
      </c>
    </row>
    <row r="171" spans="1:15">
      <c r="A171" s="105">
        <v>2013</v>
      </c>
      <c r="B171" s="105" t="str">
        <f>INDEX(PARCELLAIRE!$B$2:$B$29,MATCH(UTILISATIONS!C171,PARCELLAIRE!$D$2:$D$29,0))</f>
        <v xml:space="preserve">BLE DUR </v>
      </c>
      <c r="C171" s="105" t="s">
        <v>162</v>
      </c>
      <c r="D171" s="106">
        <v>41354</v>
      </c>
      <c r="E171" s="105" t="s">
        <v>20</v>
      </c>
      <c r="F171" s="105" t="s">
        <v>69</v>
      </c>
      <c r="G171" s="105" t="str">
        <f>VLOOKUP(E171,ACHATS!$C:$D,2,0)</f>
        <v>DESHERBANT</v>
      </c>
      <c r="H171" s="107">
        <v>0.9</v>
      </c>
      <c r="I171" s="107">
        <f>VLOOKUP(C171,PARCELLAIRE!$D$2:$F$29,3,0)</f>
        <v>2.67</v>
      </c>
      <c r="J171" s="107">
        <f t="shared" si="10"/>
        <v>2.403</v>
      </c>
      <c r="K171" s="107">
        <f>VLOOKUP(E171,'COUT MOYEN'!$B$1:$E$71,4,0)</f>
        <v>31</v>
      </c>
      <c r="L171" s="108">
        <f t="shared" si="12"/>
        <v>74.492999999999995</v>
      </c>
      <c r="M171" s="108"/>
      <c r="N171" s="63" t="str">
        <f t="shared" si="11"/>
        <v>Lescandes</v>
      </c>
      <c r="O171" s="172">
        <f>SUMPRODUCT(--(PARCELLAIRE!H$2:H$58=UTILISATIONS!N171))</f>
        <v>0</v>
      </c>
    </row>
    <row r="172" spans="1:15">
      <c r="A172" s="105">
        <v>2013</v>
      </c>
      <c r="B172" s="105" t="str">
        <f>INDEX(PARCELLAIRE!$B$2:$B$29,MATCH(UTILISATIONS!C172,PARCELLAIRE!$D$2:$D$29,0))</f>
        <v xml:space="preserve">BLE DUR </v>
      </c>
      <c r="C172" s="105" t="s">
        <v>172</v>
      </c>
      <c r="D172" s="106">
        <v>41354</v>
      </c>
      <c r="E172" s="105" t="s">
        <v>20</v>
      </c>
      <c r="F172" s="105" t="s">
        <v>69</v>
      </c>
      <c r="G172" s="105" t="str">
        <f>VLOOKUP(E172,ACHATS!$C:$D,2,0)</f>
        <v>DESHERBANT</v>
      </c>
      <c r="H172" s="107">
        <v>0.9</v>
      </c>
      <c r="I172" s="107">
        <f>VLOOKUP(C172,PARCELLAIRE!$D$2:$F$29,3,0)</f>
        <v>16.440000000000001</v>
      </c>
      <c r="J172" s="107">
        <f t="shared" si="10"/>
        <v>14.796000000000001</v>
      </c>
      <c r="K172" s="107">
        <f>VLOOKUP(E172,'COUT MOYEN'!$B$1:$E$71,4,0)</f>
        <v>31</v>
      </c>
      <c r="L172" s="108">
        <f t="shared" si="12"/>
        <v>458.67600000000004</v>
      </c>
      <c r="M172" s="108"/>
      <c r="N172" s="63" t="str">
        <f t="shared" si="11"/>
        <v>Lescandes Côteau</v>
      </c>
      <c r="O172" s="172">
        <f>SUMPRODUCT(--(PARCELLAIRE!H$2:H$58=UTILISATIONS!N172))</f>
        <v>0</v>
      </c>
    </row>
    <row r="173" spans="1:15">
      <c r="A173" s="105">
        <v>2013</v>
      </c>
      <c r="B173" s="105" t="str">
        <f>INDEX(PARCELLAIRE!$B$2:$B$29,MATCH(UTILISATIONS!C173,PARCELLAIRE!$D$2:$D$29,0))</f>
        <v>BLE TENDRE</v>
      </c>
      <c r="C173" s="105" t="s">
        <v>160</v>
      </c>
      <c r="D173" s="106">
        <v>41354</v>
      </c>
      <c r="E173" s="105" t="s">
        <v>20</v>
      </c>
      <c r="F173" s="105" t="s">
        <v>69</v>
      </c>
      <c r="G173" s="105" t="str">
        <f>VLOOKUP(E173,ACHATS!$C:$D,2,0)</f>
        <v>DESHERBANT</v>
      </c>
      <c r="H173" s="107">
        <v>0.9</v>
      </c>
      <c r="I173" s="107">
        <f>VLOOKUP(C173,PARCELLAIRE!$D$2:$F$29,3,0)</f>
        <v>17.55</v>
      </c>
      <c r="J173" s="107">
        <f t="shared" si="10"/>
        <v>15.795000000000002</v>
      </c>
      <c r="K173" s="107">
        <f>VLOOKUP(E173,'COUT MOYEN'!$B$1:$E$71,4,0)</f>
        <v>31</v>
      </c>
      <c r="L173" s="108">
        <f t="shared" si="12"/>
        <v>489.64500000000004</v>
      </c>
      <c r="M173" s="108"/>
      <c r="N173" s="63" t="str">
        <f t="shared" si="11"/>
        <v>Labaou Plaine</v>
      </c>
      <c r="O173" s="172">
        <f>SUMPRODUCT(--(PARCELLAIRE!H$2:H$58=UTILISATIONS!N173))</f>
        <v>1</v>
      </c>
    </row>
    <row r="174" spans="1:15">
      <c r="A174" s="105">
        <v>2013</v>
      </c>
      <c r="B174" s="105" t="str">
        <f>INDEX(PARCELLAIRE!$B$2:$B$29,MATCH(UTILISATIONS!C174,PARCELLAIRE!$D$2:$D$29,0))</f>
        <v xml:space="preserve">BLE DUR </v>
      </c>
      <c r="C174" s="105" t="s">
        <v>174</v>
      </c>
      <c r="D174" s="106">
        <v>41358</v>
      </c>
      <c r="E174" s="105" t="s">
        <v>18</v>
      </c>
      <c r="F174" s="105" t="s">
        <v>70</v>
      </c>
      <c r="G174" s="105" t="str">
        <f>VLOOKUP(E174,ACHATS!$C:$D,2,0)</f>
        <v>DESHERBANT</v>
      </c>
      <c r="H174" s="107">
        <v>18</v>
      </c>
      <c r="I174" s="107">
        <f>VLOOKUP(C174,PARCELLAIRE!$D$2:$F$29,3,0)</f>
        <v>12.49</v>
      </c>
      <c r="J174" s="107">
        <f t="shared" si="10"/>
        <v>224.82</v>
      </c>
      <c r="K174" s="107">
        <f>VLOOKUP(E174,'COUT MOYEN'!$B$1:$E$71,4,0)</f>
        <v>0.67</v>
      </c>
      <c r="L174" s="108">
        <f t="shared" si="12"/>
        <v>150.6294</v>
      </c>
      <c r="M174" s="108"/>
      <c r="N174" s="63" t="str">
        <f t="shared" si="11"/>
        <v>Engleyse Bousquet</v>
      </c>
      <c r="O174" s="172">
        <f>SUMPRODUCT(--(PARCELLAIRE!H$2:H$58=UTILISATIONS!N174))</f>
        <v>0</v>
      </c>
    </row>
    <row r="175" spans="1:15">
      <c r="A175" s="105">
        <v>2013</v>
      </c>
      <c r="B175" s="105" t="str">
        <f>INDEX(PARCELLAIRE!$B$2:$B$29,MATCH(UTILISATIONS!C175,PARCELLAIRE!$D$2:$D$29,0))</f>
        <v xml:space="preserve">BLE DUR </v>
      </c>
      <c r="C175" s="105" t="s">
        <v>174</v>
      </c>
      <c r="D175" s="106">
        <v>41358</v>
      </c>
      <c r="E175" s="105" t="s">
        <v>83</v>
      </c>
      <c r="F175" s="105" t="s">
        <v>69</v>
      </c>
      <c r="G175" s="105" t="str">
        <f>VLOOKUP(E175,ACHATS!$C:$D,2,0)</f>
        <v>DESHERBANT</v>
      </c>
      <c r="H175" s="107">
        <v>0.9</v>
      </c>
      <c r="I175" s="107">
        <f>VLOOKUP(C175,PARCELLAIRE!$D$2:$F$29,3,0)</f>
        <v>12.49</v>
      </c>
      <c r="J175" s="107">
        <f t="shared" si="10"/>
        <v>11.241</v>
      </c>
      <c r="K175" s="107">
        <f>VLOOKUP(E175,'COUT MOYEN'!$B$1:$E$71,4,0)</f>
        <v>31</v>
      </c>
      <c r="L175" s="108">
        <f t="shared" si="12"/>
        <v>348.471</v>
      </c>
      <c r="M175" s="108"/>
      <c r="N175" s="63" t="str">
        <f t="shared" si="11"/>
        <v>Engleyse Bousquet</v>
      </c>
      <c r="O175" s="172">
        <f>SUMPRODUCT(--(PARCELLAIRE!H$2:H$58=UTILISATIONS!N175))</f>
        <v>0</v>
      </c>
    </row>
    <row r="176" spans="1:15">
      <c r="A176" s="105">
        <v>2013</v>
      </c>
      <c r="B176" s="105" t="str">
        <f>INDEX(PARCELLAIRE!$B$2:$B$29,MATCH(UTILISATIONS!C176,PARCELLAIRE!$D$2:$D$29,0))</f>
        <v xml:space="preserve">BLE DUR </v>
      </c>
      <c r="C176" s="105" t="s">
        <v>144</v>
      </c>
      <c r="D176" s="106">
        <v>41358</v>
      </c>
      <c r="E176" s="105" t="s">
        <v>83</v>
      </c>
      <c r="F176" s="105" t="s">
        <v>69</v>
      </c>
      <c r="G176" s="105" t="str">
        <f>VLOOKUP(E176,ACHATS!$C:$D,2,0)</f>
        <v>DESHERBANT</v>
      </c>
      <c r="H176" s="107">
        <v>0.9</v>
      </c>
      <c r="I176" s="107">
        <f>VLOOKUP(C176,PARCELLAIRE!$D$2:$F$29,3,0)</f>
        <v>5.27</v>
      </c>
      <c r="J176" s="107">
        <f t="shared" si="10"/>
        <v>4.7429999999999994</v>
      </c>
      <c r="K176" s="107">
        <f>VLOOKUP(E176,'COUT MOYEN'!$B$1:$E$71,4,0)</f>
        <v>31</v>
      </c>
      <c r="L176" s="108">
        <f t="shared" si="12"/>
        <v>147.03299999999999</v>
      </c>
      <c r="M176" s="108"/>
      <c r="N176" s="63" t="str">
        <f t="shared" si="11"/>
        <v>Bousquet Château</v>
      </c>
      <c r="O176" s="172">
        <f>SUMPRODUCT(--(PARCELLAIRE!H$2:H$58=UTILISATIONS!N176))</f>
        <v>0</v>
      </c>
    </row>
    <row r="177" spans="1:15">
      <c r="A177" s="105">
        <v>2013</v>
      </c>
      <c r="B177" s="105" t="str">
        <f>INDEX(PARCELLAIRE!$B$2:$B$29,MATCH(UTILISATIONS!C177,PARCELLAIRE!$D$2:$D$29,0))</f>
        <v>BLE TENDRE</v>
      </c>
      <c r="C177" s="105" t="s">
        <v>160</v>
      </c>
      <c r="D177" s="106">
        <v>41358</v>
      </c>
      <c r="E177" s="105" t="s">
        <v>84</v>
      </c>
      <c r="F177" s="105" t="s">
        <v>69</v>
      </c>
      <c r="G177" s="105" t="str">
        <f>VLOOKUP(E177,ACHATS!$C:$D,2,0)</f>
        <v>DESHERBANT</v>
      </c>
      <c r="H177" s="107">
        <v>5.7000000000000002E-2</v>
      </c>
      <c r="I177" s="107">
        <f>VLOOKUP(C177,PARCELLAIRE!$D$2:$F$29,3,0)</f>
        <v>17.55</v>
      </c>
      <c r="J177" s="107">
        <f t="shared" si="10"/>
        <v>1.0003500000000001</v>
      </c>
      <c r="K177" s="107">
        <f>VLOOKUP(E177,'COUT MOYEN'!$B$1:$E$71,4,0)</f>
        <v>320</v>
      </c>
      <c r="L177" s="108">
        <f t="shared" si="12"/>
        <v>320.11200000000002</v>
      </c>
      <c r="M177" s="108"/>
      <c r="N177" s="63" t="str">
        <f t="shared" si="11"/>
        <v>Labaou Plaine</v>
      </c>
      <c r="O177" s="172">
        <f>SUMPRODUCT(--(PARCELLAIRE!H$2:H$58=UTILISATIONS!N177))</f>
        <v>1</v>
      </c>
    </row>
    <row r="178" spans="1:15">
      <c r="A178" s="105">
        <v>2013</v>
      </c>
      <c r="B178" s="105" t="str">
        <f>INDEX(PARCELLAIRE!$B$2:$B$29,MATCH(UTILISATIONS!C178,PARCELLAIRE!$D$2:$D$29,0))</f>
        <v>BLE TENDRE</v>
      </c>
      <c r="C178" s="105" t="s">
        <v>160</v>
      </c>
      <c r="D178" s="106">
        <v>41358</v>
      </c>
      <c r="E178" s="105" t="s">
        <v>19</v>
      </c>
      <c r="F178" s="105" t="s">
        <v>69</v>
      </c>
      <c r="G178" s="105" t="str">
        <f>VLOOKUP(E178,ACHATS!$C:$D,2,0)</f>
        <v>DESHERBANT</v>
      </c>
      <c r="H178" s="107">
        <v>68.38</v>
      </c>
      <c r="I178" s="107">
        <f>VLOOKUP(C178,PARCELLAIRE!$D$2:$F$29,3,0)</f>
        <v>17.55</v>
      </c>
      <c r="J178" s="107">
        <f t="shared" si="10"/>
        <v>1200.069</v>
      </c>
      <c r="K178" s="107">
        <f>VLOOKUP(E178,'COUT MOYEN'!$B$1:$E$71,4,0)</f>
        <v>0.33416666666666667</v>
      </c>
      <c r="L178" s="108">
        <f t="shared" si="12"/>
        <v>401.02305749999999</v>
      </c>
      <c r="M178" s="108"/>
      <c r="N178" s="63" t="str">
        <f t="shared" si="11"/>
        <v>Labaou Plaine</v>
      </c>
      <c r="O178" s="172">
        <f>SUMPRODUCT(--(PARCELLAIRE!H$2:H$58=UTILISATIONS!N178))</f>
        <v>1</v>
      </c>
    </row>
    <row r="179" spans="1:15">
      <c r="A179" s="110">
        <v>2013</v>
      </c>
      <c r="B179" s="105" t="str">
        <f>INDEX(PARCELLAIRE!$B$2:$B$29,MATCH(UTILISATIONS!C179,PARCELLAIRE!$D$2:$D$29,0))</f>
        <v>TOURNESOL</v>
      </c>
      <c r="C179" s="110" t="s">
        <v>157</v>
      </c>
      <c r="D179" s="109">
        <v>41375</v>
      </c>
      <c r="E179" s="110" t="s">
        <v>25</v>
      </c>
      <c r="F179" s="110" t="s">
        <v>69</v>
      </c>
      <c r="G179" s="105" t="str">
        <f>VLOOKUP(E179,ACHATS!$C:$D,2,0)</f>
        <v>DIVERS</v>
      </c>
      <c r="H179" s="107">
        <v>0.5</v>
      </c>
      <c r="I179" s="107">
        <f>VLOOKUP(C179,PARCELLAIRE!$D$2:$F$29,3,0)</f>
        <v>5.26</v>
      </c>
      <c r="J179" s="107">
        <f t="shared" si="10"/>
        <v>2.63</v>
      </c>
      <c r="K179" s="107">
        <f>VLOOKUP(E179,'COUT MOYEN'!$B$1:$E$71,4,0)</f>
        <v>11.01</v>
      </c>
      <c r="L179" s="108">
        <f t="shared" si="12"/>
        <v>28.956299999999999</v>
      </c>
      <c r="M179" s="108"/>
      <c r="N179" s="63" t="str">
        <f t="shared" si="11"/>
        <v>L'Aule métairie</v>
      </c>
      <c r="O179" s="172">
        <f>SUMPRODUCT(--(PARCELLAIRE!H$2:H$58=UTILISATIONS!N179))</f>
        <v>1</v>
      </c>
    </row>
    <row r="180" spans="1:15">
      <c r="A180" s="110">
        <v>2013</v>
      </c>
      <c r="B180" s="105" t="str">
        <f>INDEX(PARCELLAIRE!$B$2:$B$29,MATCH(UTILISATIONS!C180,PARCELLAIRE!$D$2:$D$29,0))</f>
        <v>TOURNESOL</v>
      </c>
      <c r="C180" s="110" t="s">
        <v>158</v>
      </c>
      <c r="D180" s="109">
        <v>41375</v>
      </c>
      <c r="E180" s="110" t="s">
        <v>25</v>
      </c>
      <c r="F180" s="110" t="s">
        <v>69</v>
      </c>
      <c r="G180" s="105" t="str">
        <f>VLOOKUP(E180,ACHATS!$C:$D,2,0)</f>
        <v>DIVERS</v>
      </c>
      <c r="H180" s="107">
        <v>0.5</v>
      </c>
      <c r="I180" s="107">
        <f>VLOOKUP(C180,PARCELLAIRE!$D$2:$F$29,3,0)</f>
        <v>15.64</v>
      </c>
      <c r="J180" s="107">
        <f t="shared" si="10"/>
        <v>7.82</v>
      </c>
      <c r="K180" s="107">
        <f>VLOOKUP(E180,'COUT MOYEN'!$B$1:$E$71,4,0)</f>
        <v>11.01</v>
      </c>
      <c r="L180" s="108">
        <f t="shared" si="12"/>
        <v>86.098200000000006</v>
      </c>
      <c r="M180" s="108"/>
      <c r="N180" s="63" t="str">
        <f t="shared" si="11"/>
        <v>L'Aule Plaine</v>
      </c>
      <c r="O180" s="172">
        <f>SUMPRODUCT(--(PARCELLAIRE!H$2:H$58=UTILISATIONS!N180))</f>
        <v>1</v>
      </c>
    </row>
    <row r="181" spans="1:15">
      <c r="A181" s="105">
        <v>2013</v>
      </c>
      <c r="B181" s="105" t="str">
        <f>INDEX(PARCELLAIRE!$B$2:$B$29,MATCH(UTILISATIONS!C181,PARCELLAIRE!$D$2:$D$29,0))</f>
        <v>TOURNESOL</v>
      </c>
      <c r="C181" s="105" t="s">
        <v>158</v>
      </c>
      <c r="D181" s="106">
        <v>41375</v>
      </c>
      <c r="E181" s="105" t="s">
        <v>16</v>
      </c>
      <c r="F181" s="105" t="s">
        <v>69</v>
      </c>
      <c r="G181" s="105" t="str">
        <f>VLOOKUP(E181,ACHATS!$C:$D,2,0)</f>
        <v>DESHERBANT</v>
      </c>
      <c r="H181" s="107">
        <v>2.0099999999999998</v>
      </c>
      <c r="I181" s="107">
        <f>VLOOKUP(C181,PARCELLAIRE!$D$2:$F$29,3,0)</f>
        <v>15.64</v>
      </c>
      <c r="J181" s="107">
        <f t="shared" si="10"/>
        <v>31.436399999999999</v>
      </c>
      <c r="K181" s="107">
        <f>VLOOKUP(E181,'COUT MOYEN'!$B$1:$E$71,4,0)</f>
        <v>4.9381521739130436</v>
      </c>
      <c r="L181" s="108">
        <f t="shared" si="12"/>
        <v>155.23772700000001</v>
      </c>
      <c r="M181" s="108"/>
      <c r="N181" s="63" t="str">
        <f t="shared" si="11"/>
        <v>L'Aule Plaine</v>
      </c>
      <c r="O181" s="172">
        <f>SUMPRODUCT(--(PARCELLAIRE!H$2:H$58=UTILISATIONS!N181))</f>
        <v>1</v>
      </c>
    </row>
    <row r="182" spans="1:15">
      <c r="A182" s="105">
        <v>2013</v>
      </c>
      <c r="B182" s="105" t="str">
        <f>INDEX(PARCELLAIRE!$B$2:$B$29,MATCH(UTILISATIONS!C182,PARCELLAIRE!$D$2:$D$29,0))</f>
        <v>TOURNESOL</v>
      </c>
      <c r="C182" s="105" t="s">
        <v>157</v>
      </c>
      <c r="D182" s="106">
        <v>41375</v>
      </c>
      <c r="E182" s="105" t="s">
        <v>16</v>
      </c>
      <c r="F182" s="105" t="s">
        <v>69</v>
      </c>
      <c r="G182" s="105" t="str">
        <f>VLOOKUP(E182,ACHATS!$C:$D,2,0)</f>
        <v>DESHERBANT</v>
      </c>
      <c r="H182" s="107">
        <v>2.0099999999999998</v>
      </c>
      <c r="I182" s="107">
        <f>VLOOKUP(C182,PARCELLAIRE!$D$2:$F$29,3,0)</f>
        <v>5.26</v>
      </c>
      <c r="J182" s="107">
        <f t="shared" si="10"/>
        <v>10.572599999999998</v>
      </c>
      <c r="K182" s="107">
        <f>VLOOKUP(E182,'COUT MOYEN'!$B$1:$E$71,4,0)</f>
        <v>4.9381521739130436</v>
      </c>
      <c r="L182" s="108">
        <f t="shared" si="12"/>
        <v>52.209107673913032</v>
      </c>
      <c r="M182" s="108"/>
      <c r="N182" s="63" t="str">
        <f t="shared" si="11"/>
        <v>L'Aule métairie</v>
      </c>
      <c r="O182" s="172">
        <f>SUMPRODUCT(--(PARCELLAIRE!H$2:H$58=UTILISATIONS!N182))</f>
        <v>1</v>
      </c>
    </row>
    <row r="183" spans="1:15">
      <c r="A183" s="105">
        <v>2013</v>
      </c>
      <c r="B183" s="105" t="str">
        <f>INDEX(PARCELLAIRE!$B$2:$B$29,MATCH(UTILISATIONS!C183,PARCELLAIRE!$D$2:$D$29,0))</f>
        <v>TOURNESOL</v>
      </c>
      <c r="C183" s="105" t="s">
        <v>157</v>
      </c>
      <c r="D183" s="106">
        <v>41375</v>
      </c>
      <c r="E183" s="105" t="s">
        <v>27</v>
      </c>
      <c r="F183" s="105" t="s">
        <v>69</v>
      </c>
      <c r="G183" s="105" t="str">
        <f>VLOOKUP(E183,ACHATS!$C:$D,2,0)</f>
        <v>DIVERS</v>
      </c>
      <c r="H183" s="107">
        <v>0.03</v>
      </c>
      <c r="I183" s="107">
        <f>VLOOKUP(C183,PARCELLAIRE!$D$2:$F$29,3,0)</f>
        <v>5.26</v>
      </c>
      <c r="J183" s="107">
        <f t="shared" si="10"/>
        <v>0.1578</v>
      </c>
      <c r="K183" s="107">
        <f>VLOOKUP(E183,'COUT MOYEN'!$B$1:$E$71,4,0)</f>
        <v>0.88</v>
      </c>
      <c r="L183" s="108">
        <f t="shared" si="12"/>
        <v>0.13886399999999999</v>
      </c>
      <c r="M183" s="108"/>
      <c r="N183" s="63" t="str">
        <f t="shared" si="11"/>
        <v>L'Aule métairie</v>
      </c>
      <c r="O183" s="172">
        <f>SUMPRODUCT(--(PARCELLAIRE!H$2:H$58=UTILISATIONS!N183))</f>
        <v>1</v>
      </c>
    </row>
    <row r="184" spans="1:15">
      <c r="A184" s="105">
        <v>2013</v>
      </c>
      <c r="B184" s="105" t="str">
        <f>INDEX(PARCELLAIRE!$B$2:$B$29,MATCH(UTILISATIONS!C184,PARCELLAIRE!$D$2:$D$29,0))</f>
        <v>TOURNESOL</v>
      </c>
      <c r="C184" s="105" t="s">
        <v>158</v>
      </c>
      <c r="D184" s="106">
        <v>41375</v>
      </c>
      <c r="E184" s="105" t="s">
        <v>27</v>
      </c>
      <c r="F184" s="105" t="s">
        <v>68</v>
      </c>
      <c r="G184" s="105" t="str">
        <f>VLOOKUP(E184,ACHATS!$C:$D,2,0)</f>
        <v>DIVERS</v>
      </c>
      <c r="H184" s="107">
        <v>0.03</v>
      </c>
      <c r="I184" s="107">
        <f>VLOOKUP(C184,PARCELLAIRE!$D$2:$F$29,3,0)</f>
        <v>15.64</v>
      </c>
      <c r="J184" s="107">
        <f t="shared" si="10"/>
        <v>0.46920000000000001</v>
      </c>
      <c r="K184" s="107">
        <f>VLOOKUP(E184,'COUT MOYEN'!$B$1:$E$71,4,0)</f>
        <v>0.88</v>
      </c>
      <c r="L184" s="108">
        <f t="shared" si="12"/>
        <v>0.41289599999999999</v>
      </c>
      <c r="M184" s="108"/>
      <c r="N184" s="63" t="str">
        <f t="shared" si="11"/>
        <v>L'Aule Plaine</v>
      </c>
      <c r="O184" s="172">
        <f>SUMPRODUCT(--(PARCELLAIRE!H$2:H$58=UTILISATIONS!N184))</f>
        <v>1</v>
      </c>
    </row>
    <row r="185" spans="1:15">
      <c r="A185" s="110">
        <v>2013</v>
      </c>
      <c r="B185" s="105" t="str">
        <f>INDEX(PARCELLAIRE!$B$2:$B$29,MATCH(UTILISATIONS!C185,PARCELLAIRE!$D$2:$D$29,0))</f>
        <v xml:space="preserve">BLE DUR </v>
      </c>
      <c r="C185" s="110" t="s">
        <v>144</v>
      </c>
      <c r="D185" s="109">
        <v>41379</v>
      </c>
      <c r="E185" s="110" t="s">
        <v>25</v>
      </c>
      <c r="F185" s="110" t="s">
        <v>69</v>
      </c>
      <c r="G185" s="105" t="str">
        <f>VLOOKUP(E185,ACHATS!$C:$D,2,0)</f>
        <v>DIVERS</v>
      </c>
      <c r="H185" s="107">
        <v>0.2</v>
      </c>
      <c r="I185" s="107">
        <f>VLOOKUP(C185,PARCELLAIRE!$D$2:$F$29,3,0)</f>
        <v>5.27</v>
      </c>
      <c r="J185" s="107">
        <f t="shared" si="10"/>
        <v>1.054</v>
      </c>
      <c r="K185" s="107">
        <f>VLOOKUP(E185,'COUT MOYEN'!$B$1:$E$71,4,0)</f>
        <v>11.01</v>
      </c>
      <c r="L185" s="108">
        <f t="shared" si="12"/>
        <v>11.60454</v>
      </c>
      <c r="M185" s="108"/>
      <c r="N185" s="63" t="str">
        <f t="shared" si="11"/>
        <v>Bousquet Château</v>
      </c>
      <c r="O185" s="172">
        <f>SUMPRODUCT(--(PARCELLAIRE!H$2:H$58=UTILISATIONS!N185))</f>
        <v>0</v>
      </c>
    </row>
    <row r="186" spans="1:15">
      <c r="A186" s="105">
        <v>2013</v>
      </c>
      <c r="B186" s="105" t="str">
        <f>INDEX(PARCELLAIRE!$B$2:$B$29,MATCH(UTILISATIONS!C186,PARCELLAIRE!$D$2:$D$29,0))</f>
        <v xml:space="preserve">BLE DUR </v>
      </c>
      <c r="C186" s="105" t="s">
        <v>144</v>
      </c>
      <c r="D186" s="106">
        <v>41379</v>
      </c>
      <c r="E186" s="105" t="s">
        <v>86</v>
      </c>
      <c r="F186" s="105" t="s">
        <v>69</v>
      </c>
      <c r="G186" s="105" t="str">
        <f>VLOOKUP(E186,ACHATS!$C:$D,2,0)</f>
        <v>FONGICIDES</v>
      </c>
      <c r="H186" s="107">
        <v>0.6</v>
      </c>
      <c r="I186" s="107">
        <f>VLOOKUP(C186,PARCELLAIRE!$D$2:$F$29,3,0)</f>
        <v>5.27</v>
      </c>
      <c r="J186" s="107">
        <f t="shared" si="10"/>
        <v>3.1619999999999995</v>
      </c>
      <c r="K186" s="107">
        <f>VLOOKUP(E186,'COUT MOYEN'!$B$1:$E$71,4,0)</f>
        <v>30.91</v>
      </c>
      <c r="L186" s="108">
        <f t="shared" si="12"/>
        <v>97.737419999999986</v>
      </c>
      <c r="M186" s="108"/>
      <c r="N186" s="63" t="str">
        <f t="shared" si="11"/>
        <v>Bousquet Château</v>
      </c>
      <c r="O186" s="172">
        <f>SUMPRODUCT(--(PARCELLAIRE!H$2:H$58=UTILISATIONS!N186))</f>
        <v>0</v>
      </c>
    </row>
    <row r="187" spans="1:15">
      <c r="A187" s="105">
        <v>2013</v>
      </c>
      <c r="B187" s="105" t="str">
        <f>INDEX(PARCELLAIRE!$B$2:$B$29,MATCH(UTILISATIONS!C187,PARCELLAIRE!$D$2:$D$29,0))</f>
        <v xml:space="preserve">BLE DUR </v>
      </c>
      <c r="C187" s="105" t="s">
        <v>147</v>
      </c>
      <c r="D187" s="106">
        <v>41379</v>
      </c>
      <c r="E187" s="105" t="s">
        <v>86</v>
      </c>
      <c r="F187" s="105" t="s">
        <v>69</v>
      </c>
      <c r="G187" s="105" t="str">
        <f>VLOOKUP(E187,ACHATS!$C:$D,2,0)</f>
        <v>FONGICIDES</v>
      </c>
      <c r="H187" s="107">
        <v>0.6</v>
      </c>
      <c r="I187" s="107">
        <f>VLOOKUP(C187,PARCELLAIRE!$D$2:$F$29,3,0)</f>
        <v>5.67</v>
      </c>
      <c r="J187" s="107">
        <f t="shared" si="10"/>
        <v>3.4019999999999997</v>
      </c>
      <c r="K187" s="107">
        <f>VLOOKUP(E187,'COUT MOYEN'!$B$1:$E$71,4,0)</f>
        <v>30.91</v>
      </c>
      <c r="L187" s="108">
        <f t="shared" si="12"/>
        <v>105.15581999999999</v>
      </c>
      <c r="M187" s="108"/>
      <c r="N187" s="63" t="str">
        <f t="shared" si="11"/>
        <v>Bousquet Route</v>
      </c>
      <c r="O187" s="172">
        <f>SUMPRODUCT(--(PARCELLAIRE!H$2:H$58=UTILISATIONS!N187))</f>
        <v>0</v>
      </c>
    </row>
    <row r="188" spans="1:15">
      <c r="A188" s="105">
        <v>2013</v>
      </c>
      <c r="B188" s="105" t="str">
        <f>INDEX(PARCELLAIRE!$B$2:$B$29,MATCH(UTILISATIONS!C188,PARCELLAIRE!$D$2:$D$29,0))</f>
        <v xml:space="preserve">BLE DUR </v>
      </c>
      <c r="C188" s="105" t="s">
        <v>151</v>
      </c>
      <c r="D188" s="106">
        <v>41379</v>
      </c>
      <c r="E188" s="105" t="s">
        <v>86</v>
      </c>
      <c r="F188" s="105" t="s">
        <v>69</v>
      </c>
      <c r="G188" s="105" t="str">
        <f>VLOOKUP(E188,ACHATS!$C:$D,2,0)</f>
        <v>FONGICIDES</v>
      </c>
      <c r="H188" s="107">
        <v>0.6</v>
      </c>
      <c r="I188" s="107">
        <f>VLOOKUP(C188,PARCELLAIRE!$D$2:$F$29,3,0)</f>
        <v>7.58</v>
      </c>
      <c r="J188" s="107">
        <f t="shared" si="10"/>
        <v>4.548</v>
      </c>
      <c r="K188" s="107">
        <f>VLOOKUP(E188,'COUT MOYEN'!$B$1:$E$71,4,0)</f>
        <v>30.91</v>
      </c>
      <c r="L188" s="108">
        <f t="shared" si="12"/>
        <v>140.57867999999999</v>
      </c>
      <c r="M188" s="108"/>
      <c r="N188" s="63" t="str">
        <f t="shared" si="11"/>
        <v>Escarcelou</v>
      </c>
      <c r="O188" s="172">
        <f>SUMPRODUCT(--(PARCELLAIRE!H$2:H$58=UTILISATIONS!N188))</f>
        <v>0</v>
      </c>
    </row>
    <row r="189" spans="1:15">
      <c r="A189" s="105">
        <v>2013</v>
      </c>
      <c r="B189" s="105" t="str">
        <f>INDEX(PARCELLAIRE!$B$2:$B$29,MATCH(UTILISATIONS!C189,PARCELLAIRE!$D$2:$D$29,0))</f>
        <v xml:space="preserve">BLE DUR </v>
      </c>
      <c r="C189" s="105" t="s">
        <v>176</v>
      </c>
      <c r="D189" s="106">
        <v>41379</v>
      </c>
      <c r="E189" s="105" t="s">
        <v>86</v>
      </c>
      <c r="F189" s="105" t="s">
        <v>69</v>
      </c>
      <c r="G189" s="105" t="str">
        <f>VLOOKUP(E189,ACHATS!$C:$D,2,0)</f>
        <v>FONGICIDES</v>
      </c>
      <c r="H189" s="107">
        <v>0.6</v>
      </c>
      <c r="I189" s="107">
        <f>VLOOKUP(C189,PARCELLAIRE!$D$2:$F$29,3,0)</f>
        <v>11.9</v>
      </c>
      <c r="J189" s="107">
        <f t="shared" si="10"/>
        <v>7.14</v>
      </c>
      <c r="K189" s="107">
        <f>VLOOKUP(E189,'COUT MOYEN'!$B$1:$E$71,4,0)</f>
        <v>30.91</v>
      </c>
      <c r="L189" s="108">
        <f t="shared" si="12"/>
        <v>220.69739999999999</v>
      </c>
      <c r="M189" s="108"/>
      <c r="N189" s="63" t="str">
        <f t="shared" si="11"/>
        <v>Labaou Devant</v>
      </c>
      <c r="O189" s="172">
        <f>SUMPRODUCT(--(PARCELLAIRE!H$2:H$58=UTILISATIONS!N189))</f>
        <v>0</v>
      </c>
    </row>
    <row r="190" spans="1:15">
      <c r="A190" s="105">
        <v>2013</v>
      </c>
      <c r="B190" s="105" t="str">
        <f>INDEX(PARCELLAIRE!$B$2:$B$29,MATCH(UTILISATIONS!C190,PARCELLAIRE!$D$2:$D$29,0))</f>
        <v xml:space="preserve">BLE DUR </v>
      </c>
      <c r="C190" s="105" t="s">
        <v>153</v>
      </c>
      <c r="D190" s="106">
        <v>41379</v>
      </c>
      <c r="E190" s="105" t="s">
        <v>86</v>
      </c>
      <c r="F190" s="105" t="s">
        <v>69</v>
      </c>
      <c r="G190" s="105" t="str">
        <f>VLOOKUP(E190,ACHATS!$C:$D,2,0)</f>
        <v>FONGICIDES</v>
      </c>
      <c r="H190" s="107">
        <v>0.6</v>
      </c>
      <c r="I190" s="107">
        <f>VLOOKUP(C190,PARCELLAIRE!$D$2:$F$29,3,0)</f>
        <v>7.5</v>
      </c>
      <c r="J190" s="107">
        <f t="shared" si="10"/>
        <v>4.5</v>
      </c>
      <c r="K190" s="107">
        <f>VLOOKUP(E190,'COUT MOYEN'!$B$1:$E$71,4,0)</f>
        <v>30.91</v>
      </c>
      <c r="L190" s="108">
        <f t="shared" si="12"/>
        <v>139.095</v>
      </c>
      <c r="M190" s="108"/>
      <c r="N190" s="63" t="str">
        <f t="shared" si="11"/>
        <v>Escarcelou Pte</v>
      </c>
      <c r="O190" s="172">
        <f>SUMPRODUCT(--(PARCELLAIRE!H$2:H$58=UTILISATIONS!N190))</f>
        <v>0</v>
      </c>
    </row>
    <row r="191" spans="1:15">
      <c r="A191" s="105">
        <v>2013</v>
      </c>
      <c r="B191" s="105" t="str">
        <f>INDEX(PARCELLAIRE!$B$2:$B$29,MATCH(UTILISATIONS!C191,PARCELLAIRE!$D$2:$D$29,0))</f>
        <v xml:space="preserve">BLE DUR </v>
      </c>
      <c r="C191" s="105" t="s">
        <v>161</v>
      </c>
      <c r="D191" s="106">
        <v>41379</v>
      </c>
      <c r="E191" s="105" t="s">
        <v>86</v>
      </c>
      <c r="F191" s="105" t="s">
        <v>69</v>
      </c>
      <c r="G191" s="105" t="str">
        <f>VLOOKUP(E191,ACHATS!$C:$D,2,0)</f>
        <v>FONGICIDES</v>
      </c>
      <c r="H191" s="107">
        <v>0.6</v>
      </c>
      <c r="I191" s="107">
        <f>VLOOKUP(C191,PARCELLAIRE!$D$2:$F$29,3,0)</f>
        <v>5.07</v>
      </c>
      <c r="J191" s="107">
        <f t="shared" si="10"/>
        <v>3.0420000000000003</v>
      </c>
      <c r="K191" s="107">
        <f>VLOOKUP(E191,'COUT MOYEN'!$B$1:$E$71,4,0)</f>
        <v>30.91</v>
      </c>
      <c r="L191" s="108">
        <f t="shared" si="12"/>
        <v>94.028220000000005</v>
      </c>
      <c r="M191" s="108"/>
      <c r="N191" s="63" t="str">
        <f t="shared" si="11"/>
        <v>Laclos</v>
      </c>
      <c r="O191" s="172">
        <f>SUMPRODUCT(--(PARCELLAIRE!H$2:H$58=UTILISATIONS!N191))</f>
        <v>0</v>
      </c>
    </row>
    <row r="192" spans="1:15">
      <c r="A192" s="105">
        <v>2013</v>
      </c>
      <c r="B192" s="105" t="str">
        <f>INDEX(PARCELLAIRE!$B$2:$B$29,MATCH(UTILISATIONS!C192,PARCELLAIRE!$D$2:$D$29,0))</f>
        <v xml:space="preserve">BLE DUR </v>
      </c>
      <c r="C192" s="105" t="s">
        <v>162</v>
      </c>
      <c r="D192" s="106">
        <v>41379</v>
      </c>
      <c r="E192" s="105" t="s">
        <v>86</v>
      </c>
      <c r="F192" s="105" t="s">
        <v>69</v>
      </c>
      <c r="G192" s="105" t="str">
        <f>VLOOKUP(E192,ACHATS!$C:$D,2,0)</f>
        <v>FONGICIDES</v>
      </c>
      <c r="H192" s="107">
        <v>0.6</v>
      </c>
      <c r="I192" s="107">
        <f>VLOOKUP(C192,PARCELLAIRE!$D$2:$F$29,3,0)</f>
        <v>2.67</v>
      </c>
      <c r="J192" s="107">
        <f t="shared" si="10"/>
        <v>1.6019999999999999</v>
      </c>
      <c r="K192" s="107">
        <f>VLOOKUP(E192,'COUT MOYEN'!$B$1:$E$71,4,0)</f>
        <v>30.91</v>
      </c>
      <c r="L192" s="108">
        <f t="shared" si="12"/>
        <v>49.517819999999993</v>
      </c>
      <c r="M192" s="108"/>
      <c r="N192" s="63" t="str">
        <f t="shared" si="11"/>
        <v>Lescandes</v>
      </c>
      <c r="O192" s="172">
        <f>SUMPRODUCT(--(PARCELLAIRE!H$2:H$58=UTILISATIONS!N192))</f>
        <v>0</v>
      </c>
    </row>
    <row r="193" spans="1:15">
      <c r="A193" s="105">
        <v>2013</v>
      </c>
      <c r="B193" s="105" t="str">
        <f>INDEX(PARCELLAIRE!$B$2:$B$29,MATCH(UTILISATIONS!C193,PARCELLAIRE!$D$2:$D$29,0))</f>
        <v xml:space="preserve">BLE DUR </v>
      </c>
      <c r="C193" s="105" t="s">
        <v>172</v>
      </c>
      <c r="D193" s="106">
        <v>41379</v>
      </c>
      <c r="E193" s="105" t="s">
        <v>86</v>
      </c>
      <c r="F193" s="105" t="s">
        <v>69</v>
      </c>
      <c r="G193" s="105" t="str">
        <f>VLOOKUP(E193,ACHATS!$C:$D,2,0)</f>
        <v>FONGICIDES</v>
      </c>
      <c r="H193" s="107">
        <v>0.6</v>
      </c>
      <c r="I193" s="107">
        <f>VLOOKUP(C193,PARCELLAIRE!$D$2:$F$29,3,0)</f>
        <v>16.440000000000001</v>
      </c>
      <c r="J193" s="107">
        <f t="shared" si="10"/>
        <v>9.8640000000000008</v>
      </c>
      <c r="K193" s="107">
        <f>VLOOKUP(E193,'COUT MOYEN'!$B$1:$E$71,4,0)</f>
        <v>30.91</v>
      </c>
      <c r="L193" s="108">
        <f t="shared" si="12"/>
        <v>304.89624000000003</v>
      </c>
      <c r="M193" s="108"/>
      <c r="N193" s="63" t="str">
        <f t="shared" si="11"/>
        <v>Lescandes Côteau</v>
      </c>
      <c r="O193" s="172">
        <f>SUMPRODUCT(--(PARCELLAIRE!H$2:H$58=UTILISATIONS!N193))</f>
        <v>0</v>
      </c>
    </row>
    <row r="194" spans="1:15">
      <c r="A194" s="105">
        <v>2013</v>
      </c>
      <c r="B194" s="105" t="str">
        <f>INDEX(PARCELLAIRE!$B$2:$B$29,MATCH(UTILISATIONS!C194,PARCELLAIRE!$D$2:$D$29,0))</f>
        <v xml:space="preserve">BLE DUR </v>
      </c>
      <c r="C194" s="105" t="s">
        <v>170</v>
      </c>
      <c r="D194" s="106">
        <v>41379</v>
      </c>
      <c r="E194" s="105" t="s">
        <v>86</v>
      </c>
      <c r="F194" s="105" t="s">
        <v>69</v>
      </c>
      <c r="G194" s="105" t="str">
        <f>VLOOKUP(E194,ACHATS!$C:$D,2,0)</f>
        <v>FONGICIDES</v>
      </c>
      <c r="H194" s="107">
        <v>0.6</v>
      </c>
      <c r="I194" s="107">
        <f>VLOOKUP(C194,PARCELLAIRE!$D$2:$F$29,3,0)</f>
        <v>1.26</v>
      </c>
      <c r="J194" s="107">
        <f t="shared" ref="J194:J257" si="13">I194*H194</f>
        <v>0.75600000000000001</v>
      </c>
      <c r="K194" s="107">
        <f>VLOOKUP(E194,'COUT MOYEN'!$B$1:$E$71,4,0)</f>
        <v>30.91</v>
      </c>
      <c r="L194" s="108">
        <f t="shared" si="12"/>
        <v>23.36796</v>
      </c>
      <c r="M194" s="108"/>
      <c r="N194" s="63" t="str">
        <f t="shared" ref="N194:N257" si="14">IF(WHEN=A194,C194,1)</f>
        <v>Seillonne</v>
      </c>
      <c r="O194" s="172">
        <f>SUMPRODUCT(--(PARCELLAIRE!H$2:H$58=UTILISATIONS!N194))</f>
        <v>0</v>
      </c>
    </row>
    <row r="195" spans="1:15">
      <c r="A195" s="105">
        <v>2013</v>
      </c>
      <c r="B195" s="105" t="str">
        <f>INDEX(PARCELLAIRE!$B$2:$B$29,MATCH(UTILISATIONS!C195,PARCELLAIRE!$D$2:$D$29,0))</f>
        <v xml:space="preserve">BLE DUR </v>
      </c>
      <c r="C195" s="105" t="s">
        <v>144</v>
      </c>
      <c r="D195" s="106">
        <v>41379</v>
      </c>
      <c r="E195" s="105" t="s">
        <v>33</v>
      </c>
      <c r="F195" s="105" t="s">
        <v>69</v>
      </c>
      <c r="G195" s="105" t="str">
        <f>VLOOKUP(E195,ACHATS!$C:$D,2,0)</f>
        <v>FONGICIDES</v>
      </c>
      <c r="H195" s="107">
        <v>0.7</v>
      </c>
      <c r="I195" s="107">
        <f>VLOOKUP(C195,PARCELLAIRE!$D$2:$F$29,3,0)</f>
        <v>5.27</v>
      </c>
      <c r="J195" s="107">
        <f t="shared" si="13"/>
        <v>3.6889999999999996</v>
      </c>
      <c r="K195" s="107">
        <f>VLOOKUP(E195,'COUT MOYEN'!$B$1:$E$71,4,0)</f>
        <v>9</v>
      </c>
      <c r="L195" s="108">
        <f t="shared" si="12"/>
        <v>33.200999999999993</v>
      </c>
      <c r="M195" s="108"/>
      <c r="N195" s="63" t="str">
        <f t="shared" si="14"/>
        <v>Bousquet Château</v>
      </c>
      <c r="O195" s="172">
        <f>SUMPRODUCT(--(PARCELLAIRE!H$2:H$58=UTILISATIONS!N195))</f>
        <v>0</v>
      </c>
    </row>
    <row r="196" spans="1:15">
      <c r="A196" s="105">
        <v>2013</v>
      </c>
      <c r="B196" s="105" t="str">
        <f>INDEX(PARCELLAIRE!$B$2:$B$29,MATCH(UTILISATIONS!C196,PARCELLAIRE!$D$2:$D$29,0))</f>
        <v xml:space="preserve">BLE DUR </v>
      </c>
      <c r="C196" s="105" t="s">
        <v>147</v>
      </c>
      <c r="D196" s="106">
        <v>41379</v>
      </c>
      <c r="E196" s="105" t="s">
        <v>33</v>
      </c>
      <c r="F196" s="105" t="s">
        <v>69</v>
      </c>
      <c r="G196" s="105" t="str">
        <f>VLOOKUP(E196,ACHATS!$C:$D,2,0)</f>
        <v>FONGICIDES</v>
      </c>
      <c r="H196" s="107">
        <v>0.7</v>
      </c>
      <c r="I196" s="107">
        <f>VLOOKUP(C196,PARCELLAIRE!$D$2:$F$29,3,0)</f>
        <v>5.67</v>
      </c>
      <c r="J196" s="107">
        <f t="shared" si="13"/>
        <v>3.9689999999999999</v>
      </c>
      <c r="K196" s="107">
        <f>VLOOKUP(E196,'COUT MOYEN'!$B$1:$E$71,4,0)</f>
        <v>9</v>
      </c>
      <c r="L196" s="108">
        <f t="shared" si="12"/>
        <v>35.720999999999997</v>
      </c>
      <c r="M196" s="108"/>
      <c r="N196" s="63" t="str">
        <f t="shared" si="14"/>
        <v>Bousquet Route</v>
      </c>
      <c r="O196" s="172">
        <f>SUMPRODUCT(--(PARCELLAIRE!H$2:H$58=UTILISATIONS!N196))</f>
        <v>0</v>
      </c>
    </row>
    <row r="197" spans="1:15">
      <c r="A197" s="105">
        <v>2013</v>
      </c>
      <c r="B197" s="105" t="str">
        <f>INDEX(PARCELLAIRE!$B$2:$B$29,MATCH(UTILISATIONS!C197,PARCELLAIRE!$D$2:$D$29,0))</f>
        <v xml:space="preserve">BLE DUR </v>
      </c>
      <c r="C197" s="105" t="s">
        <v>151</v>
      </c>
      <c r="D197" s="106">
        <v>41379</v>
      </c>
      <c r="E197" s="105" t="s">
        <v>33</v>
      </c>
      <c r="F197" s="105" t="s">
        <v>69</v>
      </c>
      <c r="G197" s="105" t="str">
        <f>VLOOKUP(E197,ACHATS!$C:$D,2,0)</f>
        <v>FONGICIDES</v>
      </c>
      <c r="H197" s="107">
        <v>0.7</v>
      </c>
      <c r="I197" s="107">
        <f>VLOOKUP(C197,PARCELLAIRE!$D$2:$F$29,3,0)</f>
        <v>7.58</v>
      </c>
      <c r="J197" s="107">
        <f t="shared" si="13"/>
        <v>5.306</v>
      </c>
      <c r="K197" s="107">
        <f>VLOOKUP(E197,'COUT MOYEN'!$B$1:$E$71,4,0)</f>
        <v>9</v>
      </c>
      <c r="L197" s="108">
        <f t="shared" si="12"/>
        <v>47.753999999999998</v>
      </c>
      <c r="M197" s="108"/>
      <c r="N197" s="63" t="str">
        <f t="shared" si="14"/>
        <v>Escarcelou</v>
      </c>
      <c r="O197" s="172">
        <f>SUMPRODUCT(--(PARCELLAIRE!H$2:H$58=UTILISATIONS!N197))</f>
        <v>0</v>
      </c>
    </row>
    <row r="198" spans="1:15">
      <c r="A198" s="105">
        <v>2013</v>
      </c>
      <c r="B198" s="105" t="str">
        <f>INDEX(PARCELLAIRE!$B$2:$B$29,MATCH(UTILISATIONS!C198,PARCELLAIRE!$D$2:$D$29,0))</f>
        <v xml:space="preserve">BLE DUR </v>
      </c>
      <c r="C198" s="105" t="s">
        <v>176</v>
      </c>
      <c r="D198" s="106">
        <v>41379</v>
      </c>
      <c r="E198" s="105" t="s">
        <v>33</v>
      </c>
      <c r="F198" s="105" t="s">
        <v>69</v>
      </c>
      <c r="G198" s="105" t="str">
        <f>VLOOKUP(E198,ACHATS!$C:$D,2,0)</f>
        <v>FONGICIDES</v>
      </c>
      <c r="H198" s="107">
        <v>0.7</v>
      </c>
      <c r="I198" s="107">
        <f>VLOOKUP(C198,PARCELLAIRE!$D$2:$F$29,3,0)</f>
        <v>11.9</v>
      </c>
      <c r="J198" s="107">
        <f t="shared" si="13"/>
        <v>8.33</v>
      </c>
      <c r="K198" s="107">
        <f>VLOOKUP(E198,'COUT MOYEN'!$B$1:$E$71,4,0)</f>
        <v>9</v>
      </c>
      <c r="L198" s="108">
        <f t="shared" si="12"/>
        <v>74.97</v>
      </c>
      <c r="M198" s="108"/>
      <c r="N198" s="63" t="str">
        <f t="shared" si="14"/>
        <v>Labaou Devant</v>
      </c>
      <c r="O198" s="172">
        <f>SUMPRODUCT(--(PARCELLAIRE!H$2:H$58=UTILISATIONS!N198))</f>
        <v>0</v>
      </c>
    </row>
    <row r="199" spans="1:15">
      <c r="A199" s="105">
        <v>2013</v>
      </c>
      <c r="B199" s="105" t="str">
        <f>INDEX(PARCELLAIRE!$B$2:$B$29,MATCH(UTILISATIONS!C199,PARCELLAIRE!$D$2:$D$29,0))</f>
        <v xml:space="preserve">BLE DUR </v>
      </c>
      <c r="C199" s="105" t="s">
        <v>161</v>
      </c>
      <c r="D199" s="106">
        <v>41379</v>
      </c>
      <c r="E199" s="105" t="s">
        <v>33</v>
      </c>
      <c r="F199" s="105" t="s">
        <v>69</v>
      </c>
      <c r="G199" s="105" t="str">
        <f>VLOOKUP(E199,ACHATS!$C:$D,2,0)</f>
        <v>FONGICIDES</v>
      </c>
      <c r="H199" s="107">
        <v>0.7</v>
      </c>
      <c r="I199" s="107">
        <f>VLOOKUP(C199,PARCELLAIRE!$D$2:$F$29,3,0)</f>
        <v>5.07</v>
      </c>
      <c r="J199" s="107">
        <f t="shared" si="13"/>
        <v>3.5489999999999999</v>
      </c>
      <c r="K199" s="107">
        <f>VLOOKUP(E199,'COUT MOYEN'!$B$1:$E$71,4,0)</f>
        <v>9</v>
      </c>
      <c r="L199" s="108">
        <f t="shared" si="12"/>
        <v>31.940999999999999</v>
      </c>
      <c r="M199" s="108"/>
      <c r="N199" s="63" t="str">
        <f t="shared" si="14"/>
        <v>Laclos</v>
      </c>
      <c r="O199" s="172">
        <f>SUMPRODUCT(--(PARCELLAIRE!H$2:H$58=UTILISATIONS!N199))</f>
        <v>0</v>
      </c>
    </row>
    <row r="200" spans="1:15">
      <c r="A200" s="105">
        <v>2013</v>
      </c>
      <c r="B200" s="105" t="str">
        <f>INDEX(PARCELLAIRE!$B$2:$B$29,MATCH(UTILISATIONS!C200,PARCELLAIRE!$D$2:$D$29,0))</f>
        <v xml:space="preserve">BLE DUR </v>
      </c>
      <c r="C200" s="105" t="s">
        <v>162</v>
      </c>
      <c r="D200" s="106">
        <v>41379</v>
      </c>
      <c r="E200" s="105" t="s">
        <v>33</v>
      </c>
      <c r="F200" s="105" t="s">
        <v>69</v>
      </c>
      <c r="G200" s="105" t="str">
        <f>VLOOKUP(E200,ACHATS!$C:$D,2,0)</f>
        <v>FONGICIDES</v>
      </c>
      <c r="H200" s="107">
        <v>0.7</v>
      </c>
      <c r="I200" s="107">
        <f>VLOOKUP(C200,PARCELLAIRE!$D$2:$F$29,3,0)</f>
        <v>2.67</v>
      </c>
      <c r="J200" s="107">
        <f t="shared" si="13"/>
        <v>1.8689999999999998</v>
      </c>
      <c r="K200" s="107">
        <f>VLOOKUP(E200,'COUT MOYEN'!$B$1:$E$71,4,0)</f>
        <v>9</v>
      </c>
      <c r="L200" s="108">
        <f t="shared" si="12"/>
        <v>16.820999999999998</v>
      </c>
      <c r="M200" s="108"/>
      <c r="N200" s="63" t="str">
        <f t="shared" si="14"/>
        <v>Lescandes</v>
      </c>
      <c r="O200" s="172">
        <f>SUMPRODUCT(--(PARCELLAIRE!H$2:H$58=UTILISATIONS!N200))</f>
        <v>0</v>
      </c>
    </row>
    <row r="201" spans="1:15">
      <c r="A201" s="105">
        <v>2013</v>
      </c>
      <c r="B201" s="105" t="str">
        <f>INDEX(PARCELLAIRE!$B$2:$B$29,MATCH(UTILISATIONS!C201,PARCELLAIRE!$D$2:$D$29,0))</f>
        <v xml:space="preserve">BLE DUR </v>
      </c>
      <c r="C201" s="105" t="s">
        <v>172</v>
      </c>
      <c r="D201" s="106">
        <v>41379</v>
      </c>
      <c r="E201" s="105" t="s">
        <v>33</v>
      </c>
      <c r="F201" s="105" t="s">
        <v>69</v>
      </c>
      <c r="G201" s="105" t="str">
        <f>VLOOKUP(E201,ACHATS!$C:$D,2,0)</f>
        <v>FONGICIDES</v>
      </c>
      <c r="H201" s="107">
        <v>0.7</v>
      </c>
      <c r="I201" s="107">
        <f>VLOOKUP(C201,PARCELLAIRE!$D$2:$F$29,3,0)</f>
        <v>16.440000000000001</v>
      </c>
      <c r="J201" s="107">
        <f t="shared" si="13"/>
        <v>11.508000000000001</v>
      </c>
      <c r="K201" s="107">
        <f>VLOOKUP(E201,'COUT MOYEN'!$B$1:$E$71,4,0)</f>
        <v>9</v>
      </c>
      <c r="L201" s="108">
        <f t="shared" si="12"/>
        <v>103.572</v>
      </c>
      <c r="M201" s="108"/>
      <c r="N201" s="63" t="str">
        <f t="shared" si="14"/>
        <v>Lescandes Côteau</v>
      </c>
      <c r="O201" s="172">
        <f>SUMPRODUCT(--(PARCELLAIRE!H$2:H$58=UTILISATIONS!N201))</f>
        <v>0</v>
      </c>
    </row>
    <row r="202" spans="1:15">
      <c r="A202" s="105">
        <v>2013</v>
      </c>
      <c r="B202" s="105" t="str">
        <f>INDEX(PARCELLAIRE!$B$2:$B$29,MATCH(UTILISATIONS!C202,PARCELLAIRE!$D$2:$D$29,0))</f>
        <v xml:space="preserve">BLE DUR </v>
      </c>
      <c r="C202" s="105" t="s">
        <v>170</v>
      </c>
      <c r="D202" s="106">
        <v>41379</v>
      </c>
      <c r="E202" s="105" t="s">
        <v>33</v>
      </c>
      <c r="F202" s="105" t="s">
        <v>69</v>
      </c>
      <c r="G202" s="105" t="str">
        <f>VLOOKUP(E202,ACHATS!$C:$D,2,0)</f>
        <v>FONGICIDES</v>
      </c>
      <c r="H202" s="107">
        <v>0.7</v>
      </c>
      <c r="I202" s="107">
        <f>VLOOKUP(C202,PARCELLAIRE!$D$2:$F$29,3,0)</f>
        <v>1.26</v>
      </c>
      <c r="J202" s="107">
        <f t="shared" si="13"/>
        <v>0.8819999999999999</v>
      </c>
      <c r="K202" s="107">
        <f>VLOOKUP(E202,'COUT MOYEN'!$B$1:$E$71,4,0)</f>
        <v>9</v>
      </c>
      <c r="L202" s="108">
        <f t="shared" si="12"/>
        <v>7.9379999999999988</v>
      </c>
      <c r="M202" s="108"/>
      <c r="N202" s="63" t="str">
        <f t="shared" si="14"/>
        <v>Seillonne</v>
      </c>
      <c r="O202" s="172">
        <f>SUMPRODUCT(--(PARCELLAIRE!H$2:H$58=UTILISATIONS!N202))</f>
        <v>0</v>
      </c>
    </row>
    <row r="203" spans="1:15">
      <c r="A203" s="110">
        <v>2013</v>
      </c>
      <c r="B203" s="105" t="str">
        <f>INDEX(PARCELLAIRE!$B$2:$B$29,MATCH(UTILISATIONS!C203,PARCELLAIRE!$D$2:$D$29,0))</f>
        <v xml:space="preserve">BLE DUR </v>
      </c>
      <c r="C203" s="110" t="s">
        <v>153</v>
      </c>
      <c r="D203" s="106">
        <v>41379</v>
      </c>
      <c r="E203" s="110" t="s">
        <v>33</v>
      </c>
      <c r="F203" s="110" t="s">
        <v>69</v>
      </c>
      <c r="G203" s="110" t="s">
        <v>31</v>
      </c>
      <c r="H203" s="111">
        <v>0.7</v>
      </c>
      <c r="I203" s="107">
        <f>VLOOKUP(C203,PARCELLAIRE!$D$2:$F$29,3,0)</f>
        <v>7.5</v>
      </c>
      <c r="J203" s="107">
        <f t="shared" si="13"/>
        <v>5.25</v>
      </c>
      <c r="K203" s="107">
        <f>VLOOKUP(E203,'COUT MOYEN'!$B$1:$E$71,4,0)</f>
        <v>9</v>
      </c>
      <c r="L203" s="108">
        <f t="shared" si="12"/>
        <v>47.25</v>
      </c>
      <c r="M203" s="112"/>
      <c r="N203" s="63" t="str">
        <f t="shared" si="14"/>
        <v>Escarcelou Pte</v>
      </c>
      <c r="O203" s="172">
        <f>SUMPRODUCT(--(PARCELLAIRE!H$2:H$58=UTILISATIONS!N203))</f>
        <v>0</v>
      </c>
    </row>
    <row r="204" spans="1:15">
      <c r="A204" s="110">
        <v>2013</v>
      </c>
      <c r="B204" s="105" t="str">
        <f>INDEX(PARCELLAIRE!$B$2:$B$29,MATCH(UTILISATIONS!C204,PARCELLAIRE!$D$2:$D$29,0))</f>
        <v xml:space="preserve">BLE DUR </v>
      </c>
      <c r="C204" s="110" t="s">
        <v>147</v>
      </c>
      <c r="D204" s="109">
        <v>41379</v>
      </c>
      <c r="E204" s="110" t="s">
        <v>25</v>
      </c>
      <c r="F204" s="110" t="s">
        <v>69</v>
      </c>
      <c r="G204" s="105" t="str">
        <f>VLOOKUP(E204,ACHATS!$C:$D,2,0)</f>
        <v>DIVERS</v>
      </c>
      <c r="H204" s="107">
        <v>0.2</v>
      </c>
      <c r="I204" s="107">
        <f>VLOOKUP(C204,PARCELLAIRE!$D$2:$F$29,3,0)</f>
        <v>5.67</v>
      </c>
      <c r="J204" s="107">
        <f t="shared" si="13"/>
        <v>1.1340000000000001</v>
      </c>
      <c r="K204" s="107">
        <f>VLOOKUP(E204,'COUT MOYEN'!$B$1:$E$71,4,0)</f>
        <v>11.01</v>
      </c>
      <c r="L204" s="108">
        <f t="shared" si="12"/>
        <v>12.485340000000001</v>
      </c>
      <c r="M204" s="108"/>
      <c r="N204" s="63" t="str">
        <f t="shared" si="14"/>
        <v>Bousquet Route</v>
      </c>
      <c r="O204" s="172">
        <f>SUMPRODUCT(--(PARCELLAIRE!H$2:H$58=UTILISATIONS!N204))</f>
        <v>0</v>
      </c>
    </row>
    <row r="205" spans="1:15">
      <c r="A205" s="110">
        <v>2013</v>
      </c>
      <c r="B205" s="105" t="str">
        <f>INDEX(PARCELLAIRE!$B$2:$B$29,MATCH(UTILISATIONS!C205,PARCELLAIRE!$D$2:$D$29,0))</f>
        <v xml:space="preserve">BLE DUR </v>
      </c>
      <c r="C205" s="110" t="s">
        <v>151</v>
      </c>
      <c r="D205" s="109">
        <v>41379</v>
      </c>
      <c r="E205" s="110" t="s">
        <v>25</v>
      </c>
      <c r="F205" s="110" t="s">
        <v>69</v>
      </c>
      <c r="G205" s="105" t="str">
        <f>VLOOKUP(E205,ACHATS!$C:$D,2,0)</f>
        <v>DIVERS</v>
      </c>
      <c r="H205" s="107">
        <v>0.2</v>
      </c>
      <c r="I205" s="107">
        <f>VLOOKUP(C205,PARCELLAIRE!$D$2:$F$29,3,0)</f>
        <v>7.58</v>
      </c>
      <c r="J205" s="107">
        <f t="shared" si="13"/>
        <v>1.516</v>
      </c>
      <c r="K205" s="107">
        <f>VLOOKUP(E205,'COUT MOYEN'!$B$1:$E$71,4,0)</f>
        <v>11.01</v>
      </c>
      <c r="L205" s="108">
        <f t="shared" si="12"/>
        <v>16.69116</v>
      </c>
      <c r="M205" s="108"/>
      <c r="N205" s="63" t="str">
        <f t="shared" si="14"/>
        <v>Escarcelou</v>
      </c>
      <c r="O205" s="172">
        <f>SUMPRODUCT(--(PARCELLAIRE!H$2:H$58=UTILISATIONS!N205))</f>
        <v>0</v>
      </c>
    </row>
    <row r="206" spans="1:15">
      <c r="A206" s="110">
        <v>2013</v>
      </c>
      <c r="B206" s="105" t="str">
        <f>INDEX(PARCELLAIRE!$B$2:$B$29,MATCH(UTILISATIONS!C206,PARCELLAIRE!$D$2:$D$29,0))</f>
        <v xml:space="preserve">BLE DUR </v>
      </c>
      <c r="C206" s="110" t="s">
        <v>176</v>
      </c>
      <c r="D206" s="109">
        <v>41379</v>
      </c>
      <c r="E206" s="110" t="s">
        <v>25</v>
      </c>
      <c r="F206" s="110" t="s">
        <v>69</v>
      </c>
      <c r="G206" s="105" t="str">
        <f>VLOOKUP(E206,ACHATS!$C:$D,2,0)</f>
        <v>DIVERS</v>
      </c>
      <c r="H206" s="107">
        <v>0.2</v>
      </c>
      <c r="I206" s="107">
        <f>VLOOKUP(C206,PARCELLAIRE!$D$2:$F$29,3,0)</f>
        <v>11.9</v>
      </c>
      <c r="J206" s="107">
        <f t="shared" si="13"/>
        <v>2.3800000000000003</v>
      </c>
      <c r="K206" s="107">
        <f>VLOOKUP(E206,'COUT MOYEN'!$B$1:$E$71,4,0)</f>
        <v>11.01</v>
      </c>
      <c r="L206" s="108">
        <f t="shared" si="12"/>
        <v>26.203800000000005</v>
      </c>
      <c r="M206" s="108"/>
      <c r="N206" s="63" t="str">
        <f t="shared" si="14"/>
        <v>Labaou Devant</v>
      </c>
      <c r="O206" s="172">
        <f>SUMPRODUCT(--(PARCELLAIRE!H$2:H$58=UTILISATIONS!N206))</f>
        <v>0</v>
      </c>
    </row>
    <row r="207" spans="1:15">
      <c r="A207" s="110">
        <v>2013</v>
      </c>
      <c r="B207" s="105" t="str">
        <f>INDEX(PARCELLAIRE!$B$2:$B$29,MATCH(UTILISATIONS!C207,PARCELLAIRE!$D$2:$D$29,0))</f>
        <v xml:space="preserve">BLE DUR </v>
      </c>
      <c r="C207" s="110" t="s">
        <v>153</v>
      </c>
      <c r="D207" s="109">
        <v>41379</v>
      </c>
      <c r="E207" s="110" t="s">
        <v>25</v>
      </c>
      <c r="F207" s="110" t="s">
        <v>69</v>
      </c>
      <c r="G207" s="105" t="str">
        <f>VLOOKUP(E207,ACHATS!$C:$D,2,0)</f>
        <v>DIVERS</v>
      </c>
      <c r="H207" s="107">
        <v>0.2</v>
      </c>
      <c r="I207" s="107">
        <f>VLOOKUP(C207,PARCELLAIRE!$D$2:$F$29,3,0)</f>
        <v>7.5</v>
      </c>
      <c r="J207" s="107">
        <f t="shared" si="13"/>
        <v>1.5</v>
      </c>
      <c r="K207" s="107">
        <f>VLOOKUP(E207,'COUT MOYEN'!$B$1:$E$71,4,0)</f>
        <v>11.01</v>
      </c>
      <c r="L207" s="108">
        <f t="shared" si="12"/>
        <v>16.515000000000001</v>
      </c>
      <c r="M207" s="108"/>
      <c r="N207" s="63" t="str">
        <f t="shared" si="14"/>
        <v>Escarcelou Pte</v>
      </c>
      <c r="O207" s="172">
        <f>SUMPRODUCT(--(PARCELLAIRE!H$2:H$58=UTILISATIONS!N207))</f>
        <v>0</v>
      </c>
    </row>
    <row r="208" spans="1:15">
      <c r="A208" s="110">
        <v>2013</v>
      </c>
      <c r="B208" s="105" t="str">
        <f>INDEX(PARCELLAIRE!$B$2:$B$29,MATCH(UTILISATIONS!C208,PARCELLAIRE!$D$2:$D$29,0))</f>
        <v xml:space="preserve">BLE DUR </v>
      </c>
      <c r="C208" s="110" t="s">
        <v>161</v>
      </c>
      <c r="D208" s="109">
        <v>41379</v>
      </c>
      <c r="E208" s="110" t="s">
        <v>25</v>
      </c>
      <c r="F208" s="110" t="s">
        <v>69</v>
      </c>
      <c r="G208" s="110" t="s">
        <v>24</v>
      </c>
      <c r="H208" s="107">
        <v>0.2</v>
      </c>
      <c r="I208" s="107">
        <f>VLOOKUP(C208,PARCELLAIRE!$D$2:$F$29,3,0)</f>
        <v>5.07</v>
      </c>
      <c r="J208" s="107">
        <f t="shared" si="13"/>
        <v>1.014</v>
      </c>
      <c r="K208" s="107">
        <f>VLOOKUP(E208,'COUT MOYEN'!$B$1:$E$71,4,0)</f>
        <v>11.01</v>
      </c>
      <c r="L208" s="108">
        <f t="shared" si="12"/>
        <v>11.16414</v>
      </c>
      <c r="M208" s="112"/>
      <c r="N208" s="63" t="str">
        <f t="shared" si="14"/>
        <v>Laclos</v>
      </c>
      <c r="O208" s="172">
        <f>SUMPRODUCT(--(PARCELLAIRE!H$2:H$58=UTILISATIONS!N208))</f>
        <v>0</v>
      </c>
    </row>
    <row r="209" spans="1:15">
      <c r="A209" s="110">
        <v>2013</v>
      </c>
      <c r="B209" s="105" t="str">
        <f>INDEX(PARCELLAIRE!$B$2:$B$29,MATCH(UTILISATIONS!C209,PARCELLAIRE!$D$2:$D$29,0))</f>
        <v xml:space="preserve">BLE DUR </v>
      </c>
      <c r="C209" s="110" t="s">
        <v>162</v>
      </c>
      <c r="D209" s="109">
        <v>41379</v>
      </c>
      <c r="E209" s="110" t="s">
        <v>25</v>
      </c>
      <c r="F209" s="110" t="s">
        <v>69</v>
      </c>
      <c r="G209" s="110" t="s">
        <v>24</v>
      </c>
      <c r="H209" s="107">
        <v>0.2</v>
      </c>
      <c r="I209" s="107">
        <f>VLOOKUP(C209,PARCELLAIRE!$D$2:$F$29,3,0)</f>
        <v>2.67</v>
      </c>
      <c r="J209" s="107">
        <f t="shared" si="13"/>
        <v>0.53400000000000003</v>
      </c>
      <c r="K209" s="107">
        <f>VLOOKUP(E209,'COUT MOYEN'!$B$1:$E$71,4,0)</f>
        <v>11.01</v>
      </c>
      <c r="L209" s="108">
        <f t="shared" si="12"/>
        <v>5.87934</v>
      </c>
      <c r="M209" s="112"/>
      <c r="N209" s="63" t="str">
        <f t="shared" si="14"/>
        <v>Lescandes</v>
      </c>
      <c r="O209" s="172">
        <f>SUMPRODUCT(--(PARCELLAIRE!H$2:H$58=UTILISATIONS!N209))</f>
        <v>0</v>
      </c>
    </row>
    <row r="210" spans="1:15">
      <c r="A210" s="110">
        <v>2013</v>
      </c>
      <c r="B210" s="105" t="str">
        <f>INDEX(PARCELLAIRE!$B$2:$B$29,MATCH(UTILISATIONS!C210,PARCELLAIRE!$D$2:$D$29,0))</f>
        <v xml:space="preserve">BLE DUR </v>
      </c>
      <c r="C210" s="110" t="s">
        <v>172</v>
      </c>
      <c r="D210" s="109">
        <v>41379</v>
      </c>
      <c r="E210" s="110" t="s">
        <v>25</v>
      </c>
      <c r="F210" s="110" t="s">
        <v>69</v>
      </c>
      <c r="G210" s="110" t="s">
        <v>24</v>
      </c>
      <c r="H210" s="107">
        <v>0.2</v>
      </c>
      <c r="I210" s="107">
        <f>VLOOKUP(C210,PARCELLAIRE!$D$2:$F$29,3,0)</f>
        <v>16.440000000000001</v>
      </c>
      <c r="J210" s="107">
        <f t="shared" si="13"/>
        <v>3.2880000000000003</v>
      </c>
      <c r="K210" s="107">
        <f>VLOOKUP(E210,'COUT MOYEN'!$B$1:$E$71,4,0)</f>
        <v>11.01</v>
      </c>
      <c r="L210" s="108">
        <f t="shared" si="12"/>
        <v>36.200880000000005</v>
      </c>
      <c r="M210" s="112"/>
      <c r="N210" s="63" t="str">
        <f t="shared" si="14"/>
        <v>Lescandes Côteau</v>
      </c>
      <c r="O210" s="172">
        <f>SUMPRODUCT(--(PARCELLAIRE!H$2:H$58=UTILISATIONS!N210))</f>
        <v>0</v>
      </c>
    </row>
    <row r="211" spans="1:15">
      <c r="A211" s="110">
        <v>2013</v>
      </c>
      <c r="B211" s="105" t="str">
        <f>INDEX(PARCELLAIRE!$B$2:$B$29,MATCH(UTILISATIONS!C211,PARCELLAIRE!$D$2:$D$29,0))</f>
        <v xml:space="preserve">BLE DUR </v>
      </c>
      <c r="C211" s="110" t="s">
        <v>170</v>
      </c>
      <c r="D211" s="109">
        <v>41379</v>
      </c>
      <c r="E211" s="110" t="s">
        <v>25</v>
      </c>
      <c r="F211" s="110" t="s">
        <v>69</v>
      </c>
      <c r="G211" s="110" t="s">
        <v>24</v>
      </c>
      <c r="H211" s="107">
        <v>0.2</v>
      </c>
      <c r="I211" s="107">
        <f>VLOOKUP(C211,PARCELLAIRE!$D$2:$F$29,3,0)</f>
        <v>1.26</v>
      </c>
      <c r="J211" s="107">
        <f t="shared" si="13"/>
        <v>0.252</v>
      </c>
      <c r="K211" s="107">
        <f>VLOOKUP(E211,'COUT MOYEN'!$B$1:$E$71,4,0)</f>
        <v>11.01</v>
      </c>
      <c r="L211" s="108">
        <f t="shared" si="12"/>
        <v>2.7745199999999999</v>
      </c>
      <c r="M211" s="112"/>
      <c r="N211" s="63" t="str">
        <f t="shared" si="14"/>
        <v>Seillonne</v>
      </c>
      <c r="O211" s="172">
        <f>SUMPRODUCT(--(PARCELLAIRE!H$2:H$58=UTILISATIONS!N211))</f>
        <v>0</v>
      </c>
    </row>
    <row r="212" spans="1:15">
      <c r="A212" s="110">
        <v>2013</v>
      </c>
      <c r="B212" s="105" t="str">
        <f>INDEX(PARCELLAIRE!$B$2:$B$29,MATCH(UTILISATIONS!C212,PARCELLAIRE!$D$2:$D$29,0))</f>
        <v xml:space="preserve">BLE DUR </v>
      </c>
      <c r="C212" s="110" t="s">
        <v>152</v>
      </c>
      <c r="D212" s="109">
        <v>41379</v>
      </c>
      <c r="E212" s="110" t="s">
        <v>86</v>
      </c>
      <c r="F212" s="110" t="s">
        <v>69</v>
      </c>
      <c r="G212" s="105" t="str">
        <f>VLOOKUP(E212,ACHATS!$C:$D,2,0)</f>
        <v>FONGICIDES</v>
      </c>
      <c r="H212" s="111">
        <v>0.6</v>
      </c>
      <c r="I212" s="107">
        <f>VLOOKUP(C212,PARCELLAIRE!$D$2:$F$29,3,0)</f>
        <v>1.34</v>
      </c>
      <c r="J212" s="107">
        <f t="shared" si="13"/>
        <v>0.80400000000000005</v>
      </c>
      <c r="K212" s="107">
        <f>VLOOKUP(E212,'COUT MOYEN'!$B$1:$E$71,4,0)</f>
        <v>30.91</v>
      </c>
      <c r="L212" s="112">
        <v>139.1</v>
      </c>
      <c r="M212" s="112"/>
      <c r="N212" s="63" t="str">
        <f t="shared" si="14"/>
        <v>Escarcelou Jachère</v>
      </c>
      <c r="O212" s="172">
        <f>SUMPRODUCT(--(PARCELLAIRE!H$2:H$58=UTILISATIONS!N212))</f>
        <v>0</v>
      </c>
    </row>
    <row r="213" spans="1:15">
      <c r="A213" s="110">
        <v>2013</v>
      </c>
      <c r="B213" s="105" t="str">
        <f>INDEX(PARCELLAIRE!$B$2:$B$29,MATCH(UTILISATIONS!C213,PARCELLAIRE!$D$2:$D$29,0))</f>
        <v xml:space="preserve">BLE DUR </v>
      </c>
      <c r="C213" s="110" t="s">
        <v>152</v>
      </c>
      <c r="D213" s="109">
        <v>41379</v>
      </c>
      <c r="E213" s="110" t="s">
        <v>33</v>
      </c>
      <c r="F213" s="110" t="s">
        <v>69</v>
      </c>
      <c r="G213" s="105" t="str">
        <f>VLOOKUP(E213,ACHATS!$C:$D,2,0)</f>
        <v>FONGICIDES</v>
      </c>
      <c r="H213" s="111">
        <v>0.7</v>
      </c>
      <c r="I213" s="107">
        <f>VLOOKUP(C213,PARCELLAIRE!$D$2:$F$29,3,0)</f>
        <v>1.34</v>
      </c>
      <c r="J213" s="107">
        <f t="shared" si="13"/>
        <v>0.93799999999999994</v>
      </c>
      <c r="K213" s="107">
        <f>VLOOKUP(E213,'COUT MOYEN'!$B$1:$E$71,4,0)</f>
        <v>9</v>
      </c>
      <c r="L213" s="112">
        <v>47.25</v>
      </c>
      <c r="M213" s="112"/>
      <c r="N213" s="63" t="str">
        <f t="shared" si="14"/>
        <v>Escarcelou Jachère</v>
      </c>
      <c r="O213" s="172">
        <f>SUMPRODUCT(--(PARCELLAIRE!H$2:H$58=UTILISATIONS!N213))</f>
        <v>0</v>
      </c>
    </row>
    <row r="214" spans="1:15">
      <c r="A214" s="110">
        <v>2013</v>
      </c>
      <c r="B214" s="105" t="str">
        <f>INDEX(PARCELLAIRE!$B$2:$B$29,MATCH(UTILISATIONS!C214,PARCELLAIRE!$D$2:$D$29,0))</f>
        <v xml:space="preserve">BLE DUR </v>
      </c>
      <c r="C214" s="110" t="s">
        <v>152</v>
      </c>
      <c r="D214" s="109">
        <v>41379</v>
      </c>
      <c r="E214" s="110" t="s">
        <v>25</v>
      </c>
      <c r="F214" s="110" t="s">
        <v>69</v>
      </c>
      <c r="G214" s="105" t="str">
        <f>VLOOKUP(E214,ACHATS!$C:$D,2,0)</f>
        <v>DIVERS</v>
      </c>
      <c r="H214" s="111">
        <v>0.2</v>
      </c>
      <c r="I214" s="107">
        <f>VLOOKUP(C214,PARCELLAIRE!$D$2:$F$29,3,0)</f>
        <v>1.34</v>
      </c>
      <c r="J214" s="107">
        <f t="shared" si="13"/>
        <v>0.26800000000000002</v>
      </c>
      <c r="K214" s="107">
        <f>VLOOKUP(E214,'COUT MOYEN'!$B$1:$E$71,4,0)</f>
        <v>11.01</v>
      </c>
      <c r="L214" s="112">
        <v>16.52</v>
      </c>
      <c r="M214" s="112"/>
      <c r="N214" s="63" t="str">
        <f t="shared" si="14"/>
        <v>Escarcelou Jachère</v>
      </c>
      <c r="O214" s="172">
        <f>SUMPRODUCT(--(PARCELLAIRE!H$2:H$58=UTILISATIONS!N214))</f>
        <v>0</v>
      </c>
    </row>
    <row r="215" spans="1:15">
      <c r="A215" s="105">
        <v>2013</v>
      </c>
      <c r="B215" s="105" t="str">
        <f>INDEX(PARCELLAIRE!$B$2:$B$29,MATCH(UTILISATIONS!C215,PARCELLAIRE!$D$2:$D$29,0))</f>
        <v xml:space="preserve">BLE DUR </v>
      </c>
      <c r="C215" s="105" t="s">
        <v>174</v>
      </c>
      <c r="D215" s="106">
        <v>41380</v>
      </c>
      <c r="E215" s="105" t="s">
        <v>35</v>
      </c>
      <c r="F215" s="105" t="s">
        <v>69</v>
      </c>
      <c r="G215" s="105" t="str">
        <f>VLOOKUP(E215,ACHATS!$C:$D,2,0)</f>
        <v>FONGICIDES</v>
      </c>
      <c r="H215" s="107">
        <v>1.3</v>
      </c>
      <c r="I215" s="107">
        <f>VLOOKUP(C215,PARCELLAIRE!$D$2:$F$29,3,0)</f>
        <v>12.49</v>
      </c>
      <c r="J215" s="107">
        <f t="shared" si="13"/>
        <v>16.237000000000002</v>
      </c>
      <c r="K215" s="107">
        <f>VLOOKUP(E215,'COUT MOYEN'!$B$1:$E$71,4,0)</f>
        <v>14.4</v>
      </c>
      <c r="L215" s="108">
        <f t="shared" ref="L215:L256" si="15">K215*J215</f>
        <v>233.81280000000004</v>
      </c>
      <c r="M215" s="108"/>
      <c r="N215" s="63" t="str">
        <f t="shared" si="14"/>
        <v>Engleyse Bousquet</v>
      </c>
      <c r="O215" s="172">
        <f>SUMPRODUCT(--(PARCELLAIRE!H$2:H$58=UTILISATIONS!N215))</f>
        <v>0</v>
      </c>
    </row>
    <row r="216" spans="1:15">
      <c r="A216" s="105">
        <v>2013</v>
      </c>
      <c r="B216" s="105" t="str">
        <f>INDEX(PARCELLAIRE!$B$2:$B$29,MATCH(UTILISATIONS!C216,PARCELLAIRE!$D$2:$D$29,0))</f>
        <v>BLE TENDRE</v>
      </c>
      <c r="C216" s="105" t="s">
        <v>160</v>
      </c>
      <c r="D216" s="106">
        <v>41380</v>
      </c>
      <c r="E216" s="105" t="s">
        <v>35</v>
      </c>
      <c r="F216" s="105" t="s">
        <v>69</v>
      </c>
      <c r="G216" s="105" t="str">
        <f>VLOOKUP(E216,ACHATS!$C:$D,2,0)</f>
        <v>FONGICIDES</v>
      </c>
      <c r="H216" s="107">
        <v>1.3</v>
      </c>
      <c r="I216" s="107">
        <f>VLOOKUP(C216,PARCELLAIRE!$D$2:$F$29,3,0)</f>
        <v>17.55</v>
      </c>
      <c r="J216" s="107">
        <f t="shared" si="13"/>
        <v>22.815000000000001</v>
      </c>
      <c r="K216" s="107">
        <f>VLOOKUP(E216,'COUT MOYEN'!$B$1:$E$71,4,0)</f>
        <v>14.4</v>
      </c>
      <c r="L216" s="108">
        <f t="shared" si="15"/>
        <v>328.536</v>
      </c>
      <c r="M216" s="108"/>
      <c r="N216" s="63" t="str">
        <f t="shared" si="14"/>
        <v>Labaou Plaine</v>
      </c>
      <c r="O216" s="172">
        <f>SUMPRODUCT(--(PARCELLAIRE!H$2:H$58=UTILISATIONS!N216))</f>
        <v>1</v>
      </c>
    </row>
    <row r="217" spans="1:15">
      <c r="A217" s="105">
        <v>2013</v>
      </c>
      <c r="B217" s="105" t="str">
        <f>INDEX(PARCELLAIRE!$B$2:$B$29,MATCH(UTILISATIONS!C217,PARCELLAIRE!$D$2:$D$29,0))</f>
        <v xml:space="preserve">BLE DUR </v>
      </c>
      <c r="C217" s="105" t="s">
        <v>174</v>
      </c>
      <c r="D217" s="106">
        <v>41380</v>
      </c>
      <c r="E217" s="105" t="s">
        <v>33</v>
      </c>
      <c r="F217" s="105" t="s">
        <v>69</v>
      </c>
      <c r="G217" s="105" t="str">
        <f>VLOOKUP(E217,ACHATS!$C:$D,2,0)</f>
        <v>FONGICIDES</v>
      </c>
      <c r="H217" s="107">
        <v>0.7</v>
      </c>
      <c r="I217" s="107">
        <f>VLOOKUP(C217,PARCELLAIRE!$D$2:$F$29,3,0)</f>
        <v>12.49</v>
      </c>
      <c r="J217" s="107">
        <f t="shared" si="13"/>
        <v>8.7430000000000003</v>
      </c>
      <c r="K217" s="107">
        <f>VLOOKUP(E217,'COUT MOYEN'!$B$1:$E$71,4,0)</f>
        <v>9</v>
      </c>
      <c r="L217" s="108">
        <f t="shared" si="15"/>
        <v>78.686999999999998</v>
      </c>
      <c r="M217" s="108"/>
      <c r="N217" s="63" t="str">
        <f t="shared" si="14"/>
        <v>Engleyse Bousquet</v>
      </c>
      <c r="O217" s="172">
        <f>SUMPRODUCT(--(PARCELLAIRE!H$2:H$58=UTILISATIONS!N217))</f>
        <v>0</v>
      </c>
    </row>
    <row r="218" spans="1:15">
      <c r="A218" s="105">
        <v>2013</v>
      </c>
      <c r="B218" s="105" t="str">
        <f>INDEX(PARCELLAIRE!$B$2:$B$29,MATCH(UTILISATIONS!C218,PARCELLAIRE!$D$2:$D$29,0))</f>
        <v>BLE TENDRE</v>
      </c>
      <c r="C218" s="105" t="s">
        <v>160</v>
      </c>
      <c r="D218" s="106">
        <v>41380</v>
      </c>
      <c r="E218" s="105" t="s">
        <v>33</v>
      </c>
      <c r="F218" s="105" t="s">
        <v>69</v>
      </c>
      <c r="G218" s="105" t="str">
        <f>VLOOKUP(E218,ACHATS!$C:$D,2,0)</f>
        <v>FONGICIDES</v>
      </c>
      <c r="H218" s="107">
        <v>0.7</v>
      </c>
      <c r="I218" s="107">
        <f>VLOOKUP(C218,PARCELLAIRE!$D$2:$F$29,3,0)</f>
        <v>17.55</v>
      </c>
      <c r="J218" s="107">
        <f t="shared" si="13"/>
        <v>12.285</v>
      </c>
      <c r="K218" s="107">
        <f>VLOOKUP(E218,'COUT MOYEN'!$B$1:$E$71,4,0)</f>
        <v>9</v>
      </c>
      <c r="L218" s="108">
        <f t="shared" si="15"/>
        <v>110.565</v>
      </c>
      <c r="M218" s="108"/>
      <c r="N218" s="63" t="str">
        <f t="shared" si="14"/>
        <v>Labaou Plaine</v>
      </c>
      <c r="O218" s="172">
        <f>SUMPRODUCT(--(PARCELLAIRE!H$2:H$58=UTILISATIONS!N218))</f>
        <v>1</v>
      </c>
    </row>
    <row r="219" spans="1:15">
      <c r="A219" s="110">
        <v>2013</v>
      </c>
      <c r="B219" s="105" t="str">
        <f>INDEX(PARCELLAIRE!$B$2:$B$29,MATCH(UTILISATIONS!C219,PARCELLAIRE!$D$2:$D$29,0))</f>
        <v xml:space="preserve">BLE DUR </v>
      </c>
      <c r="C219" s="110" t="s">
        <v>174</v>
      </c>
      <c r="D219" s="109">
        <v>41380</v>
      </c>
      <c r="E219" s="110" t="s">
        <v>25</v>
      </c>
      <c r="F219" s="110" t="s">
        <v>69</v>
      </c>
      <c r="G219" s="110" t="s">
        <v>24</v>
      </c>
      <c r="H219" s="107">
        <v>0.2</v>
      </c>
      <c r="I219" s="107">
        <f>VLOOKUP(C219,PARCELLAIRE!$D$2:$F$29,3,0)</f>
        <v>12.49</v>
      </c>
      <c r="J219" s="107">
        <f t="shared" si="13"/>
        <v>2.4980000000000002</v>
      </c>
      <c r="K219" s="107">
        <f>VLOOKUP(E219,'COUT MOYEN'!$B$1:$E$71,4,0)</f>
        <v>11.01</v>
      </c>
      <c r="L219" s="108">
        <f t="shared" si="15"/>
        <v>27.502980000000001</v>
      </c>
      <c r="M219" s="112"/>
      <c r="N219" s="63" t="str">
        <f t="shared" si="14"/>
        <v>Engleyse Bousquet</v>
      </c>
      <c r="O219" s="172">
        <f>SUMPRODUCT(--(PARCELLAIRE!H$2:H$58=UTILISATIONS!N219))</f>
        <v>0</v>
      </c>
    </row>
    <row r="220" spans="1:15">
      <c r="A220" s="110">
        <v>2013</v>
      </c>
      <c r="B220" s="105" t="str">
        <f>INDEX(PARCELLAIRE!$B$2:$B$29,MATCH(UTILISATIONS!C220,PARCELLAIRE!$D$2:$D$29,0))</f>
        <v>BLE TENDRE</v>
      </c>
      <c r="C220" s="110" t="s">
        <v>160</v>
      </c>
      <c r="D220" s="109">
        <v>41380</v>
      </c>
      <c r="E220" s="110" t="s">
        <v>25</v>
      </c>
      <c r="F220" s="110" t="s">
        <v>69</v>
      </c>
      <c r="G220" s="110" t="s">
        <v>24</v>
      </c>
      <c r="H220" s="107">
        <v>0.2</v>
      </c>
      <c r="I220" s="107">
        <f>VLOOKUP(C220,PARCELLAIRE!$D$2:$F$29,3,0)</f>
        <v>17.55</v>
      </c>
      <c r="J220" s="107">
        <f t="shared" si="13"/>
        <v>3.5100000000000002</v>
      </c>
      <c r="K220" s="107">
        <f>VLOOKUP(E220,'COUT MOYEN'!$B$1:$E$71,4,0)</f>
        <v>11.01</v>
      </c>
      <c r="L220" s="108">
        <f t="shared" si="15"/>
        <v>38.645099999999999</v>
      </c>
      <c r="M220" s="112"/>
      <c r="N220" s="63" t="str">
        <f t="shared" si="14"/>
        <v>Labaou Plaine</v>
      </c>
      <c r="O220" s="172">
        <f>SUMPRODUCT(--(PARCELLAIRE!H$2:H$58=UTILISATIONS!N220))</f>
        <v>1</v>
      </c>
    </row>
    <row r="221" spans="1:15">
      <c r="A221" s="105">
        <v>2013</v>
      </c>
      <c r="B221" s="105" t="str">
        <f>INDEX(PARCELLAIRE!$B$2:$B$29,MATCH(UTILISATIONS!C221,PARCELLAIRE!$D$2:$D$29,0))</f>
        <v>TOURNESOL</v>
      </c>
      <c r="C221" s="105" t="s">
        <v>168</v>
      </c>
      <c r="D221" s="106">
        <v>41382</v>
      </c>
      <c r="E221" s="105" t="s">
        <v>71</v>
      </c>
      <c r="F221" s="105" t="s">
        <v>69</v>
      </c>
      <c r="G221" s="105" t="str">
        <f>VLOOKUP(E221,ACHATS!$C:$D,2,0)</f>
        <v>DESHERBANT</v>
      </c>
      <c r="H221" s="107">
        <v>1.0900000000000001</v>
      </c>
      <c r="I221" s="107">
        <f>VLOOKUP(C221,PARCELLAIRE!$D$2:$F$29,3,0)</f>
        <v>4.42</v>
      </c>
      <c r="J221" s="107">
        <f t="shared" si="13"/>
        <v>4.8178000000000001</v>
      </c>
      <c r="K221" s="107">
        <f>VLOOKUP(E221,'COUT MOYEN'!$B$1:$E$71,4,0)</f>
        <v>21.33</v>
      </c>
      <c r="L221" s="108">
        <f t="shared" si="15"/>
        <v>102.76367399999999</v>
      </c>
      <c r="M221" s="108"/>
      <c r="N221" s="63" t="str">
        <f t="shared" si="14"/>
        <v>Picotalène Nord</v>
      </c>
      <c r="O221" s="172">
        <f>SUMPRODUCT(--(PARCELLAIRE!H$2:H$58=UTILISATIONS!N221))</f>
        <v>0</v>
      </c>
    </row>
    <row r="222" spans="1:15">
      <c r="A222" s="105">
        <v>2013</v>
      </c>
      <c r="B222" s="105" t="str">
        <f>INDEX(PARCELLAIRE!$B$2:$B$29,MATCH(UTILISATIONS!C222,PARCELLAIRE!$D$2:$D$29,0))</f>
        <v>TOURNESOL</v>
      </c>
      <c r="C222" s="105" t="s">
        <v>169</v>
      </c>
      <c r="D222" s="106">
        <v>41382</v>
      </c>
      <c r="E222" s="105" t="s">
        <v>71</v>
      </c>
      <c r="F222" s="105" t="s">
        <v>69</v>
      </c>
      <c r="G222" s="105" t="str">
        <f>VLOOKUP(E222,ACHATS!$C:$D,2,0)</f>
        <v>DESHERBANT</v>
      </c>
      <c r="H222" s="107">
        <v>1.0900000000000001</v>
      </c>
      <c r="I222" s="107">
        <f>VLOOKUP(C222,PARCELLAIRE!$D$2:$F$29,3,0)</f>
        <v>12.06</v>
      </c>
      <c r="J222" s="107">
        <f t="shared" si="13"/>
        <v>13.145400000000002</v>
      </c>
      <c r="K222" s="107">
        <f>VLOOKUP(E222,'COUT MOYEN'!$B$1:$E$71,4,0)</f>
        <v>21.33</v>
      </c>
      <c r="L222" s="108">
        <f t="shared" si="15"/>
        <v>280.39138200000002</v>
      </c>
      <c r="M222" s="108"/>
      <c r="N222" s="63" t="str">
        <f t="shared" si="14"/>
        <v>Pourtanel</v>
      </c>
      <c r="O222" s="172">
        <f>SUMPRODUCT(--(PARCELLAIRE!H$2:H$58=UTILISATIONS!N222))</f>
        <v>0</v>
      </c>
    </row>
    <row r="223" spans="1:15">
      <c r="A223" s="105">
        <v>2013</v>
      </c>
      <c r="B223" s="105" t="str">
        <f>INDEX(PARCELLAIRE!$B$2:$B$29,MATCH(UTILISATIONS!C223,PARCELLAIRE!$D$2:$D$29,0))</f>
        <v>TOURNESOL</v>
      </c>
      <c r="C223" s="105" t="s">
        <v>171</v>
      </c>
      <c r="D223" s="106">
        <v>41382</v>
      </c>
      <c r="E223" s="105" t="s">
        <v>71</v>
      </c>
      <c r="F223" s="105" t="s">
        <v>69</v>
      </c>
      <c r="G223" s="105" t="str">
        <f>VLOOKUP(E223,ACHATS!$C:$D,2,0)</f>
        <v>DESHERBANT</v>
      </c>
      <c r="H223" s="107">
        <v>1.0900000000000001</v>
      </c>
      <c r="I223" s="107">
        <f>VLOOKUP(C223,PARCELLAIRE!$D$2:$F$29,3,0)</f>
        <v>4.12</v>
      </c>
      <c r="J223" s="107">
        <f t="shared" si="13"/>
        <v>4.4908000000000001</v>
      </c>
      <c r="K223" s="107">
        <f>VLOOKUP(E223,'COUT MOYEN'!$B$1:$E$71,4,0)</f>
        <v>21.33</v>
      </c>
      <c r="L223" s="108">
        <f t="shared" si="15"/>
        <v>95.788764</v>
      </c>
      <c r="M223" s="108"/>
      <c r="N223" s="63" t="str">
        <f t="shared" si="14"/>
        <v>Picotalène Midi</v>
      </c>
      <c r="O223" s="172">
        <f>SUMPRODUCT(--(PARCELLAIRE!H$2:H$58=UTILISATIONS!N223))</f>
        <v>0</v>
      </c>
    </row>
    <row r="224" spans="1:15">
      <c r="A224" s="105">
        <v>2013</v>
      </c>
      <c r="B224" s="105" t="str">
        <f>INDEX(PARCELLAIRE!$B$2:$B$29,MATCH(UTILISATIONS!C224,PARCELLAIRE!$D$2:$D$29,0))</f>
        <v>TOURNESOL</v>
      </c>
      <c r="C224" s="105" t="s">
        <v>175</v>
      </c>
      <c r="D224" s="106">
        <v>41382</v>
      </c>
      <c r="E224" s="105" t="s">
        <v>71</v>
      </c>
      <c r="F224" s="105" t="s">
        <v>69</v>
      </c>
      <c r="G224" s="105" t="str">
        <f>VLOOKUP(E224,ACHATS!$C:$D,2,0)</f>
        <v>DESHERBANT</v>
      </c>
      <c r="H224" s="107">
        <v>1.0900000000000001</v>
      </c>
      <c r="I224" s="107">
        <f>VLOOKUP(C224,PARCELLAIRE!$D$2:$F$29,3,0)</f>
        <v>2.33</v>
      </c>
      <c r="J224" s="107">
        <f t="shared" si="13"/>
        <v>2.5397000000000003</v>
      </c>
      <c r="K224" s="107">
        <f>VLOOKUP(E224,'COUT MOYEN'!$B$1:$E$71,4,0)</f>
        <v>21.33</v>
      </c>
      <c r="L224" s="108">
        <f t="shared" si="15"/>
        <v>54.171801000000002</v>
      </c>
      <c r="M224" s="108"/>
      <c r="N224" s="63" t="str">
        <f t="shared" si="14"/>
        <v>Bousquet Pourtanel</v>
      </c>
      <c r="O224" s="172">
        <f>SUMPRODUCT(--(PARCELLAIRE!H$2:H$58=UTILISATIONS!N224))</f>
        <v>0</v>
      </c>
    </row>
    <row r="225" spans="1:15">
      <c r="A225" s="110">
        <v>2013</v>
      </c>
      <c r="B225" s="105" t="str">
        <f>INDEX(PARCELLAIRE!$B$2:$B$29,MATCH(UTILISATIONS!C225,PARCELLAIRE!$D$2:$D$29,0))</f>
        <v>TOURNESOL</v>
      </c>
      <c r="C225" s="105" t="s">
        <v>143</v>
      </c>
      <c r="D225" s="106">
        <v>41386</v>
      </c>
      <c r="E225" s="105" t="s">
        <v>126</v>
      </c>
      <c r="F225" s="105" t="s">
        <v>68</v>
      </c>
      <c r="G225" s="105" t="str">
        <f>VLOOKUP(E225,ACHATS!$C:$D,2,0)</f>
        <v>SEMENCES</v>
      </c>
      <c r="H225" s="107">
        <v>0.4</v>
      </c>
      <c r="I225" s="107">
        <f>VLOOKUP(C225,PARCELLAIRE!$D$2:$F$29,3,0)</f>
        <v>5.17</v>
      </c>
      <c r="J225" s="107">
        <f t="shared" si="13"/>
        <v>2.0680000000000001</v>
      </c>
      <c r="K225" s="107">
        <f>VLOOKUP(E225,'COUT MOYEN'!$B$1:$E$71,4,0)</f>
        <v>176</v>
      </c>
      <c r="L225" s="108">
        <f t="shared" si="15"/>
        <v>363.96800000000002</v>
      </c>
      <c r="M225" s="108"/>
      <c r="N225" s="63" t="str">
        <f t="shared" si="14"/>
        <v>Andres</v>
      </c>
      <c r="O225" s="172">
        <f>SUMPRODUCT(--(PARCELLAIRE!H$2:H$58=UTILISATIONS!N225))</f>
        <v>0</v>
      </c>
    </row>
    <row r="226" spans="1:15">
      <c r="A226" s="110">
        <v>2013</v>
      </c>
      <c r="B226" s="105" t="str">
        <f>INDEX(PARCELLAIRE!$B$2:$B$29,MATCH(UTILISATIONS!C226,PARCELLAIRE!$D$2:$D$29,0))</f>
        <v>TOURNESOL</v>
      </c>
      <c r="C226" s="105" t="s">
        <v>164</v>
      </c>
      <c r="D226" s="106">
        <v>41386</v>
      </c>
      <c r="E226" s="105" t="s">
        <v>126</v>
      </c>
      <c r="F226" s="105" t="s">
        <v>68</v>
      </c>
      <c r="G226" s="105" t="str">
        <f>VLOOKUP(E226,ACHATS!$C:$D,2,0)</f>
        <v>SEMENCES</v>
      </c>
      <c r="H226" s="107">
        <v>0.4</v>
      </c>
      <c r="I226" s="107">
        <f>VLOOKUP(C226,PARCELLAIRE!$D$2:$F$29,3,0)</f>
        <v>21.88</v>
      </c>
      <c r="J226" s="107">
        <f t="shared" si="13"/>
        <v>8.7520000000000007</v>
      </c>
      <c r="K226" s="107">
        <f>VLOOKUP(E226,'COUT MOYEN'!$B$1:$E$71,4,0)</f>
        <v>176</v>
      </c>
      <c r="L226" s="108">
        <f t="shared" si="15"/>
        <v>1540.3520000000001</v>
      </c>
      <c r="M226" s="108"/>
      <c r="N226" s="63" t="str">
        <f t="shared" si="14"/>
        <v>Moulin Barthes</v>
      </c>
      <c r="O226" s="172">
        <f>SUMPRODUCT(--(PARCELLAIRE!H$2:H$58=UTILISATIONS!N226))</f>
        <v>0</v>
      </c>
    </row>
    <row r="227" spans="1:15">
      <c r="A227" s="110">
        <v>2013</v>
      </c>
      <c r="B227" s="105" t="str">
        <f>INDEX(PARCELLAIRE!$B$2:$B$29,MATCH(UTILISATIONS!C227,PARCELLAIRE!$D$2:$D$29,0))</f>
        <v>TOURNESOL</v>
      </c>
      <c r="C227" s="105" t="s">
        <v>165</v>
      </c>
      <c r="D227" s="106">
        <v>41386</v>
      </c>
      <c r="E227" s="105" t="s">
        <v>126</v>
      </c>
      <c r="F227" s="105" t="s">
        <v>68</v>
      </c>
      <c r="G227" s="105" t="str">
        <f>VLOOKUP(E227,ACHATS!$C:$D,2,0)</f>
        <v>SEMENCES</v>
      </c>
      <c r="H227" s="107">
        <v>0.4</v>
      </c>
      <c r="I227" s="107">
        <f>VLOOKUP(C227,PARCELLAIRE!$D$2:$F$29,3,0)</f>
        <v>5.67</v>
      </c>
      <c r="J227" s="107">
        <f t="shared" si="13"/>
        <v>2.2680000000000002</v>
      </c>
      <c r="K227" s="107">
        <f>VLOOKUP(E227,'COUT MOYEN'!$B$1:$E$71,4,0)</f>
        <v>176</v>
      </c>
      <c r="L227" s="108">
        <f t="shared" si="15"/>
        <v>399.16800000000006</v>
      </c>
      <c r="M227" s="108"/>
      <c r="N227" s="63" t="str">
        <f t="shared" si="14"/>
        <v>Moulin Côteau</v>
      </c>
      <c r="O227" s="172">
        <f>SUMPRODUCT(--(PARCELLAIRE!H$2:H$58=UTILISATIONS!N227))</f>
        <v>0</v>
      </c>
    </row>
    <row r="228" spans="1:15">
      <c r="A228" s="105">
        <v>2013</v>
      </c>
      <c r="B228" s="105" t="str">
        <f>INDEX(PARCELLAIRE!$B$2:$B$29,MATCH(UTILISATIONS!C228,PARCELLAIRE!$D$2:$D$29,0))</f>
        <v>TOURNESOL</v>
      </c>
      <c r="C228" s="105" t="s">
        <v>143</v>
      </c>
      <c r="D228" s="106">
        <v>41386</v>
      </c>
      <c r="E228" s="105" t="s">
        <v>132</v>
      </c>
      <c r="F228" s="105" t="s">
        <v>68</v>
      </c>
      <c r="G228" s="105" t="str">
        <f>VLOOKUP(E228,ACHATS!$C:$D,2,0)</f>
        <v>SEMENCES</v>
      </c>
      <c r="H228" s="107">
        <v>165</v>
      </c>
      <c r="I228" s="107">
        <f>VLOOKUP(C228,PARCELLAIRE!$D$2:$F$29,3,0)</f>
        <v>5.17</v>
      </c>
      <c r="J228" s="107">
        <f t="shared" si="13"/>
        <v>853.05</v>
      </c>
      <c r="K228" s="107">
        <f>VLOOKUP(E228,'COUT MOYEN'!$B$1:$E$71,4,0)</f>
        <v>1</v>
      </c>
      <c r="L228" s="108">
        <f t="shared" si="15"/>
        <v>853.05</v>
      </c>
      <c r="M228" s="108"/>
      <c r="N228" s="63" t="str">
        <f t="shared" si="14"/>
        <v>Andres</v>
      </c>
      <c r="O228" s="172">
        <f>SUMPRODUCT(--(PARCELLAIRE!H$2:H$58=UTILISATIONS!N228))</f>
        <v>0</v>
      </c>
    </row>
    <row r="229" spans="1:15">
      <c r="A229" s="105">
        <v>2013</v>
      </c>
      <c r="B229" s="105" t="str">
        <f>INDEX(PARCELLAIRE!$B$2:$B$29,MATCH(UTILISATIONS!C229,PARCELLAIRE!$D$2:$D$29,0))</f>
        <v>TOURNESOL</v>
      </c>
      <c r="C229" s="105" t="s">
        <v>143</v>
      </c>
      <c r="D229" s="106">
        <v>41387</v>
      </c>
      <c r="E229" s="105" t="s">
        <v>16</v>
      </c>
      <c r="F229" s="105" t="s">
        <v>69</v>
      </c>
      <c r="G229" s="105" t="str">
        <f>VLOOKUP(E229,ACHATS!$C:$D,2,0)</f>
        <v>DESHERBANT</v>
      </c>
      <c r="H229" s="107">
        <v>1</v>
      </c>
      <c r="I229" s="107">
        <f>VLOOKUP(C229,PARCELLAIRE!$D$2:$F$29,3,0)</f>
        <v>5.17</v>
      </c>
      <c r="J229" s="107">
        <f t="shared" si="13"/>
        <v>5.17</v>
      </c>
      <c r="K229" s="107">
        <f>VLOOKUP(E229,'COUT MOYEN'!$B$1:$E$71,4,0)</f>
        <v>4.9381521739130436</v>
      </c>
      <c r="L229" s="108">
        <f t="shared" si="15"/>
        <v>25.530246739130437</v>
      </c>
      <c r="M229" s="108"/>
      <c r="N229" s="63" t="str">
        <f t="shared" si="14"/>
        <v>Andres</v>
      </c>
      <c r="O229" s="172">
        <f>SUMPRODUCT(--(PARCELLAIRE!H$2:H$58=UTILISATIONS!N229))</f>
        <v>0</v>
      </c>
    </row>
    <row r="230" spans="1:15">
      <c r="A230" s="105">
        <v>2013</v>
      </c>
      <c r="B230" s="105" t="str">
        <f>INDEX(PARCELLAIRE!$B$2:$B$29,MATCH(UTILISATIONS!C230,PARCELLAIRE!$D$2:$D$29,0))</f>
        <v>TOURNESOL</v>
      </c>
      <c r="C230" s="105" t="s">
        <v>164</v>
      </c>
      <c r="D230" s="106">
        <v>41387</v>
      </c>
      <c r="E230" s="105" t="s">
        <v>16</v>
      </c>
      <c r="F230" s="105" t="s">
        <v>69</v>
      </c>
      <c r="G230" s="105" t="str">
        <f>VLOOKUP(E230,ACHATS!$C:$D,2,0)</f>
        <v>DESHERBANT</v>
      </c>
      <c r="H230" s="107">
        <v>1</v>
      </c>
      <c r="I230" s="107">
        <f>VLOOKUP(C230,PARCELLAIRE!$D$2:$F$29,3,0)</f>
        <v>21.88</v>
      </c>
      <c r="J230" s="107">
        <f t="shared" si="13"/>
        <v>21.88</v>
      </c>
      <c r="K230" s="107">
        <f>VLOOKUP(E230,'COUT MOYEN'!$B$1:$E$71,4,0)</f>
        <v>4.9381521739130436</v>
      </c>
      <c r="L230" s="108">
        <f t="shared" si="15"/>
        <v>108.04676956521739</v>
      </c>
      <c r="M230" s="108"/>
      <c r="N230" s="63" t="str">
        <f t="shared" si="14"/>
        <v>Moulin Barthes</v>
      </c>
      <c r="O230" s="172">
        <f>SUMPRODUCT(--(PARCELLAIRE!H$2:H$58=UTILISATIONS!N230))</f>
        <v>0</v>
      </c>
    </row>
    <row r="231" spans="1:15">
      <c r="A231" s="105">
        <v>2013</v>
      </c>
      <c r="B231" s="105" t="str">
        <f>INDEX(PARCELLAIRE!$B$2:$B$29,MATCH(UTILISATIONS!C231,PARCELLAIRE!$D$2:$D$29,0))</f>
        <v>TOURNESOL</v>
      </c>
      <c r="C231" s="105" t="s">
        <v>165</v>
      </c>
      <c r="D231" s="106">
        <v>41387</v>
      </c>
      <c r="E231" s="105" t="s">
        <v>16</v>
      </c>
      <c r="F231" s="105" t="s">
        <v>69</v>
      </c>
      <c r="G231" s="105" t="str">
        <f>VLOOKUP(E231,ACHATS!$C:$D,2,0)</f>
        <v>DESHERBANT</v>
      </c>
      <c r="H231" s="107">
        <v>1</v>
      </c>
      <c r="I231" s="107">
        <f>VLOOKUP(C231,PARCELLAIRE!$D$2:$F$29,3,0)</f>
        <v>5.67</v>
      </c>
      <c r="J231" s="107">
        <f t="shared" si="13"/>
        <v>5.67</v>
      </c>
      <c r="K231" s="107">
        <f>VLOOKUP(E231,'COUT MOYEN'!$B$1:$E$71,4,0)</f>
        <v>4.9381521739130436</v>
      </c>
      <c r="L231" s="108">
        <f t="shared" si="15"/>
        <v>27.999322826086956</v>
      </c>
      <c r="M231" s="108"/>
      <c r="N231" s="63" t="str">
        <f t="shared" si="14"/>
        <v>Moulin Côteau</v>
      </c>
      <c r="O231" s="172">
        <f>SUMPRODUCT(--(PARCELLAIRE!H$2:H$58=UTILISATIONS!N231))</f>
        <v>0</v>
      </c>
    </row>
    <row r="232" spans="1:15">
      <c r="A232" s="105">
        <v>2013</v>
      </c>
      <c r="B232" s="105" t="str">
        <f>INDEX(PARCELLAIRE!$B$2:$B$29,MATCH(UTILISATIONS!C232,PARCELLAIRE!$D$2:$D$29,0))</f>
        <v>TOURNESOL</v>
      </c>
      <c r="C232" s="105" t="s">
        <v>143</v>
      </c>
      <c r="D232" s="106">
        <v>41387</v>
      </c>
      <c r="E232" s="105" t="s">
        <v>23</v>
      </c>
      <c r="F232" s="105" t="s">
        <v>69</v>
      </c>
      <c r="G232" s="105" t="str">
        <f>VLOOKUP(E232,ACHATS!$C:$D,2,0)</f>
        <v>DESHERBANT</v>
      </c>
      <c r="H232" s="107">
        <v>2.5</v>
      </c>
      <c r="I232" s="107">
        <f>VLOOKUP(C232,PARCELLAIRE!$D$2:$F$29,3,0)</f>
        <v>5.17</v>
      </c>
      <c r="J232" s="107">
        <f t="shared" si="13"/>
        <v>12.925000000000001</v>
      </c>
      <c r="K232" s="107">
        <f>VLOOKUP(E232,'COUT MOYEN'!$B$1:$E$71,4,0)</f>
        <v>20.059999999999999</v>
      </c>
      <c r="L232" s="108">
        <f t="shared" si="15"/>
        <v>259.27550000000002</v>
      </c>
      <c r="M232" s="108"/>
      <c r="N232" s="63" t="str">
        <f t="shared" si="14"/>
        <v>Andres</v>
      </c>
      <c r="O232" s="172">
        <f>SUMPRODUCT(--(PARCELLAIRE!H$2:H$58=UTILISATIONS!N232))</f>
        <v>0</v>
      </c>
    </row>
    <row r="233" spans="1:15">
      <c r="A233" s="105">
        <v>2013</v>
      </c>
      <c r="B233" s="105" t="str">
        <f>INDEX(PARCELLAIRE!$B$2:$B$29,MATCH(UTILISATIONS!C233,PARCELLAIRE!$D$2:$D$29,0))</f>
        <v>TOURNESOL</v>
      </c>
      <c r="C233" s="105" t="s">
        <v>164</v>
      </c>
      <c r="D233" s="106">
        <v>41387</v>
      </c>
      <c r="E233" s="105" t="s">
        <v>23</v>
      </c>
      <c r="F233" s="105" t="s">
        <v>69</v>
      </c>
      <c r="G233" s="105" t="str">
        <f>VLOOKUP(E233,ACHATS!$C:$D,2,0)</f>
        <v>DESHERBANT</v>
      </c>
      <c r="H233" s="107">
        <v>2.5</v>
      </c>
      <c r="I233" s="107">
        <f>VLOOKUP(C233,PARCELLAIRE!$D$2:$F$29,3,0)</f>
        <v>21.88</v>
      </c>
      <c r="J233" s="107">
        <f t="shared" si="13"/>
        <v>54.699999999999996</v>
      </c>
      <c r="K233" s="107">
        <f>VLOOKUP(E233,'COUT MOYEN'!$B$1:$E$71,4,0)</f>
        <v>20.059999999999999</v>
      </c>
      <c r="L233" s="108">
        <f t="shared" si="15"/>
        <v>1097.2819999999999</v>
      </c>
      <c r="M233" s="108"/>
      <c r="N233" s="63" t="str">
        <f t="shared" si="14"/>
        <v>Moulin Barthes</v>
      </c>
      <c r="O233" s="172">
        <f>SUMPRODUCT(--(PARCELLAIRE!H$2:H$58=UTILISATIONS!N233))</f>
        <v>0</v>
      </c>
    </row>
    <row r="234" spans="1:15">
      <c r="A234" s="105">
        <v>2013</v>
      </c>
      <c r="B234" s="105" t="str">
        <f>INDEX(PARCELLAIRE!$B$2:$B$29,MATCH(UTILISATIONS!C234,PARCELLAIRE!$D$2:$D$29,0))</f>
        <v>TOURNESOL</v>
      </c>
      <c r="C234" s="105" t="s">
        <v>165</v>
      </c>
      <c r="D234" s="106">
        <v>41387</v>
      </c>
      <c r="E234" s="105" t="s">
        <v>23</v>
      </c>
      <c r="F234" s="105" t="s">
        <v>69</v>
      </c>
      <c r="G234" s="105" t="str">
        <f>VLOOKUP(E234,ACHATS!$C:$D,2,0)</f>
        <v>DESHERBANT</v>
      </c>
      <c r="H234" s="107">
        <v>2.5</v>
      </c>
      <c r="I234" s="107">
        <f>VLOOKUP(C234,PARCELLAIRE!$D$2:$F$29,3,0)</f>
        <v>5.67</v>
      </c>
      <c r="J234" s="107">
        <f t="shared" si="13"/>
        <v>14.175000000000001</v>
      </c>
      <c r="K234" s="107">
        <f>VLOOKUP(E234,'COUT MOYEN'!$B$1:$E$71,4,0)</f>
        <v>20.059999999999999</v>
      </c>
      <c r="L234" s="108">
        <f t="shared" si="15"/>
        <v>284.35050000000001</v>
      </c>
      <c r="M234" s="108"/>
      <c r="N234" s="63" t="str">
        <f t="shared" si="14"/>
        <v>Moulin Côteau</v>
      </c>
      <c r="O234" s="172">
        <f>SUMPRODUCT(--(PARCELLAIRE!H$2:H$58=UTILISATIONS!N234))</f>
        <v>0</v>
      </c>
    </row>
    <row r="235" spans="1:15">
      <c r="A235" s="105">
        <v>2013</v>
      </c>
      <c r="B235" s="105" t="str">
        <f>INDEX(PARCELLAIRE!$B$2:$B$29,MATCH(UTILISATIONS!C235,PARCELLAIRE!$D$2:$D$29,0))</f>
        <v>TOURNESOL</v>
      </c>
      <c r="C235" s="105" t="s">
        <v>157</v>
      </c>
      <c r="D235" s="106">
        <v>41387</v>
      </c>
      <c r="E235" s="105" t="s">
        <v>23</v>
      </c>
      <c r="F235" s="105" t="s">
        <v>69</v>
      </c>
      <c r="G235" s="105" t="str">
        <f>VLOOKUP(E235,ACHATS!$C:$D,2,0)</f>
        <v>DESHERBANT</v>
      </c>
      <c r="H235" s="107">
        <v>2.5</v>
      </c>
      <c r="I235" s="107">
        <f>VLOOKUP(C235,PARCELLAIRE!$D$2:$F$29,3,0)</f>
        <v>5.26</v>
      </c>
      <c r="J235" s="107">
        <f t="shared" si="13"/>
        <v>13.149999999999999</v>
      </c>
      <c r="K235" s="107">
        <f>VLOOKUP(E235,'COUT MOYEN'!$B$1:$E$71,4,0)</f>
        <v>20.059999999999999</v>
      </c>
      <c r="L235" s="108">
        <f t="shared" si="15"/>
        <v>263.78899999999993</v>
      </c>
      <c r="M235" s="108"/>
      <c r="N235" s="63" t="str">
        <f t="shared" si="14"/>
        <v>L'Aule métairie</v>
      </c>
      <c r="O235" s="172">
        <f>SUMPRODUCT(--(PARCELLAIRE!H$2:H$58=UTILISATIONS!N235))</f>
        <v>1</v>
      </c>
    </row>
    <row r="236" spans="1:15">
      <c r="A236" s="105">
        <v>2013</v>
      </c>
      <c r="B236" s="105" t="str">
        <f>INDEX(PARCELLAIRE!$B$2:$B$29,MATCH(UTILISATIONS!C236,PARCELLAIRE!$D$2:$D$29,0))</f>
        <v>TOURNESOL</v>
      </c>
      <c r="C236" s="105" t="s">
        <v>158</v>
      </c>
      <c r="D236" s="106">
        <v>41387</v>
      </c>
      <c r="E236" s="105" t="s">
        <v>23</v>
      </c>
      <c r="F236" s="105" t="s">
        <v>69</v>
      </c>
      <c r="G236" s="105" t="str">
        <f>VLOOKUP(E236,ACHATS!$C:$D,2,0)</f>
        <v>DESHERBANT</v>
      </c>
      <c r="H236" s="107">
        <v>2.5</v>
      </c>
      <c r="I236" s="107">
        <f>VLOOKUP(C236,PARCELLAIRE!$D$2:$F$29,3,0)</f>
        <v>15.64</v>
      </c>
      <c r="J236" s="107">
        <f t="shared" si="13"/>
        <v>39.1</v>
      </c>
      <c r="K236" s="107">
        <f>VLOOKUP(E236,'COUT MOYEN'!$B$1:$E$71,4,0)</f>
        <v>20.059999999999999</v>
      </c>
      <c r="L236" s="108">
        <f t="shared" si="15"/>
        <v>784.346</v>
      </c>
      <c r="M236" s="105">
        <v>4</v>
      </c>
      <c r="N236" s="63" t="str">
        <f t="shared" si="14"/>
        <v>L'Aule Plaine</v>
      </c>
      <c r="O236" s="172">
        <f>SUMPRODUCT(--(PARCELLAIRE!H$2:H$58=UTILISATIONS!N236))</f>
        <v>1</v>
      </c>
    </row>
    <row r="237" spans="1:15">
      <c r="A237" s="105">
        <v>2013</v>
      </c>
      <c r="B237" s="105" t="str">
        <f>INDEX(PARCELLAIRE!$B$2:$B$29,MATCH(UTILISATIONS!C237,PARCELLAIRE!$D$2:$D$29,0))</f>
        <v>TOURNESOL</v>
      </c>
      <c r="C237" s="105" t="s">
        <v>143</v>
      </c>
      <c r="D237" s="106">
        <v>41387</v>
      </c>
      <c r="E237" s="105" t="s">
        <v>90</v>
      </c>
      <c r="F237" s="105" t="s">
        <v>69</v>
      </c>
      <c r="G237" s="105" t="str">
        <f>VLOOKUP(E237,ACHATS!$C:$D,2,0)</f>
        <v>DESHERBANT</v>
      </c>
      <c r="H237" s="107">
        <v>1.5</v>
      </c>
      <c r="I237" s="107">
        <f>VLOOKUP(C237,PARCELLAIRE!$D$2:$F$29,3,0)</f>
        <v>5.17</v>
      </c>
      <c r="J237" s="107">
        <f t="shared" si="13"/>
        <v>7.7549999999999999</v>
      </c>
      <c r="K237" s="107">
        <f>VLOOKUP(E237,'COUT MOYEN'!$B$1:$E$71,4,0)</f>
        <v>34.299999999999997</v>
      </c>
      <c r="L237" s="108">
        <f t="shared" si="15"/>
        <v>265.99649999999997</v>
      </c>
      <c r="M237" s="108"/>
      <c r="N237" s="63" t="str">
        <f t="shared" si="14"/>
        <v>Andres</v>
      </c>
      <c r="O237" s="172">
        <f>SUMPRODUCT(--(PARCELLAIRE!H$2:H$58=UTILISATIONS!N237))</f>
        <v>0</v>
      </c>
    </row>
    <row r="238" spans="1:15">
      <c r="A238" s="105">
        <v>2013</v>
      </c>
      <c r="B238" s="105" t="str">
        <f>INDEX(PARCELLAIRE!$B$2:$B$29,MATCH(UTILISATIONS!C238,PARCELLAIRE!$D$2:$D$29,0))</f>
        <v>TOURNESOL</v>
      </c>
      <c r="C238" s="105" t="s">
        <v>164</v>
      </c>
      <c r="D238" s="106">
        <v>41387</v>
      </c>
      <c r="E238" s="105" t="s">
        <v>90</v>
      </c>
      <c r="F238" s="105" t="s">
        <v>69</v>
      </c>
      <c r="G238" s="105" t="str">
        <f>VLOOKUP(E238,ACHATS!$C:$D,2,0)</f>
        <v>DESHERBANT</v>
      </c>
      <c r="H238" s="107">
        <v>1.5</v>
      </c>
      <c r="I238" s="107">
        <f>VLOOKUP(C238,PARCELLAIRE!$D$2:$F$29,3,0)</f>
        <v>21.88</v>
      </c>
      <c r="J238" s="107">
        <f t="shared" si="13"/>
        <v>32.82</v>
      </c>
      <c r="K238" s="107">
        <f>VLOOKUP(E238,'COUT MOYEN'!$B$1:$E$71,4,0)</f>
        <v>34.299999999999997</v>
      </c>
      <c r="L238" s="108">
        <f t="shared" si="15"/>
        <v>1125.7259999999999</v>
      </c>
      <c r="M238" s="108"/>
      <c r="N238" s="63" t="str">
        <f t="shared" si="14"/>
        <v>Moulin Barthes</v>
      </c>
      <c r="O238" s="172">
        <f>SUMPRODUCT(--(PARCELLAIRE!H$2:H$58=UTILISATIONS!N238))</f>
        <v>0</v>
      </c>
    </row>
    <row r="239" spans="1:15">
      <c r="A239" s="105">
        <v>2013</v>
      </c>
      <c r="B239" s="105" t="str">
        <f>INDEX(PARCELLAIRE!$B$2:$B$29,MATCH(UTILISATIONS!C239,PARCELLAIRE!$D$2:$D$29,0))</f>
        <v>TOURNESOL</v>
      </c>
      <c r="C239" s="105" t="s">
        <v>165</v>
      </c>
      <c r="D239" s="106">
        <v>41387</v>
      </c>
      <c r="E239" s="105" t="s">
        <v>90</v>
      </c>
      <c r="F239" s="105" t="s">
        <v>69</v>
      </c>
      <c r="G239" s="105" t="str">
        <f>VLOOKUP(E239,ACHATS!$C:$D,2,0)</f>
        <v>DESHERBANT</v>
      </c>
      <c r="H239" s="107">
        <v>1.5</v>
      </c>
      <c r="I239" s="107">
        <f>VLOOKUP(C239,PARCELLAIRE!$D$2:$F$29,3,0)</f>
        <v>5.67</v>
      </c>
      <c r="J239" s="107">
        <f t="shared" si="13"/>
        <v>8.504999999999999</v>
      </c>
      <c r="K239" s="107">
        <f>VLOOKUP(E239,'COUT MOYEN'!$B$1:$E$71,4,0)</f>
        <v>34.299999999999997</v>
      </c>
      <c r="L239" s="108">
        <f t="shared" si="15"/>
        <v>291.72149999999993</v>
      </c>
      <c r="M239" s="108"/>
      <c r="N239" s="63" t="str">
        <f t="shared" si="14"/>
        <v>Moulin Côteau</v>
      </c>
      <c r="O239" s="172">
        <f>SUMPRODUCT(--(PARCELLAIRE!H$2:H$58=UTILISATIONS!N239))</f>
        <v>0</v>
      </c>
    </row>
    <row r="240" spans="1:15">
      <c r="A240" s="105">
        <v>2013</v>
      </c>
      <c r="B240" s="105" t="str">
        <f>INDEX(PARCELLAIRE!$B$2:$B$29,MATCH(UTILISATIONS!C240,PARCELLAIRE!$D$2:$D$29,0))</f>
        <v>TOURNESOL</v>
      </c>
      <c r="C240" s="105" t="s">
        <v>157</v>
      </c>
      <c r="D240" s="106">
        <v>41387</v>
      </c>
      <c r="E240" s="105" t="s">
        <v>90</v>
      </c>
      <c r="F240" s="105" t="s">
        <v>69</v>
      </c>
      <c r="G240" s="105" t="str">
        <f>VLOOKUP(E240,ACHATS!$C:$D,2,0)</f>
        <v>DESHERBANT</v>
      </c>
      <c r="H240" s="107">
        <v>1.5</v>
      </c>
      <c r="I240" s="107">
        <f>VLOOKUP(C240,PARCELLAIRE!$D$2:$F$29,3,0)</f>
        <v>5.26</v>
      </c>
      <c r="J240" s="107">
        <f t="shared" si="13"/>
        <v>7.89</v>
      </c>
      <c r="K240" s="107">
        <f>VLOOKUP(E240,'COUT MOYEN'!$B$1:$E$71,4,0)</f>
        <v>34.299999999999997</v>
      </c>
      <c r="L240" s="108">
        <f t="shared" si="15"/>
        <v>270.62699999999995</v>
      </c>
      <c r="M240" s="108"/>
      <c r="N240" s="63" t="str">
        <f t="shared" si="14"/>
        <v>L'Aule métairie</v>
      </c>
      <c r="O240" s="172">
        <f>SUMPRODUCT(--(PARCELLAIRE!H$2:H$58=UTILISATIONS!N240))</f>
        <v>1</v>
      </c>
    </row>
    <row r="241" spans="1:15">
      <c r="A241" s="105">
        <v>2013</v>
      </c>
      <c r="B241" s="105" t="str">
        <f>INDEX(PARCELLAIRE!$B$2:$B$29,MATCH(UTILISATIONS!C241,PARCELLAIRE!$D$2:$D$29,0))</f>
        <v>TOURNESOL</v>
      </c>
      <c r="C241" s="105" t="s">
        <v>158</v>
      </c>
      <c r="D241" s="106">
        <v>41387</v>
      </c>
      <c r="E241" s="105" t="s">
        <v>90</v>
      </c>
      <c r="F241" s="105" t="s">
        <v>69</v>
      </c>
      <c r="G241" s="105" t="str">
        <f>VLOOKUP(E241,ACHATS!$C:$D,2,0)</f>
        <v>DESHERBANT</v>
      </c>
      <c r="H241" s="107">
        <v>1.5</v>
      </c>
      <c r="I241" s="107">
        <f>VLOOKUP(C241,PARCELLAIRE!$D$2:$F$29,3,0)</f>
        <v>15.64</v>
      </c>
      <c r="J241" s="107">
        <f t="shared" si="13"/>
        <v>23.46</v>
      </c>
      <c r="K241" s="107">
        <f>VLOOKUP(E241,'COUT MOYEN'!$B$1:$E$71,4,0)</f>
        <v>34.299999999999997</v>
      </c>
      <c r="L241" s="108">
        <f t="shared" si="15"/>
        <v>804.678</v>
      </c>
      <c r="M241" s="105">
        <v>2</v>
      </c>
      <c r="N241" s="63" t="str">
        <f t="shared" si="14"/>
        <v>L'Aule Plaine</v>
      </c>
      <c r="O241" s="172">
        <f>SUMPRODUCT(--(PARCELLAIRE!H$2:H$58=UTILISATIONS!N241))</f>
        <v>1</v>
      </c>
    </row>
    <row r="242" spans="1:15">
      <c r="A242" s="105">
        <v>2013</v>
      </c>
      <c r="B242" s="105" t="str">
        <f>INDEX(PARCELLAIRE!$B$2:$B$29,MATCH(UTILISATIONS!C242,PARCELLAIRE!$D$2:$D$29,0))</f>
        <v>TOURNESOL</v>
      </c>
      <c r="C242" s="105" t="s">
        <v>175</v>
      </c>
      <c r="D242" s="106">
        <v>41388</v>
      </c>
      <c r="E242" s="105" t="s">
        <v>131</v>
      </c>
      <c r="F242" s="105" t="s">
        <v>68</v>
      </c>
      <c r="G242" s="105" t="str">
        <f>VLOOKUP(E242,ACHATS!$C:$D,2,0)</f>
        <v>SEMENCES</v>
      </c>
      <c r="H242" s="107">
        <v>0.44</v>
      </c>
      <c r="I242" s="107">
        <f>VLOOKUP(C242,PARCELLAIRE!$D$2:$F$29,3,0)</f>
        <v>2.33</v>
      </c>
      <c r="J242" s="107">
        <f t="shared" si="13"/>
        <v>1.0252000000000001</v>
      </c>
      <c r="K242" s="107">
        <f>VLOOKUP(E242,'COUT MOYEN'!$B$1:$E$71,4,0)</f>
        <v>248.577</v>
      </c>
      <c r="L242" s="108">
        <f t="shared" si="15"/>
        <v>254.84114040000003</v>
      </c>
      <c r="M242" s="108"/>
      <c r="N242" s="63" t="str">
        <f t="shared" si="14"/>
        <v>Bousquet Pourtanel</v>
      </c>
      <c r="O242" s="172">
        <f>SUMPRODUCT(--(PARCELLAIRE!H$2:H$58=UTILISATIONS!N242))</f>
        <v>0</v>
      </c>
    </row>
    <row r="243" spans="1:15">
      <c r="A243" s="105">
        <v>2013</v>
      </c>
      <c r="B243" s="105" t="str">
        <f>INDEX(PARCELLAIRE!$B$2:$B$29,MATCH(UTILISATIONS!C243,PARCELLAIRE!$D$2:$D$29,0))</f>
        <v>TOURNESOL</v>
      </c>
      <c r="C243" s="105" t="s">
        <v>171</v>
      </c>
      <c r="D243" s="106">
        <v>41388</v>
      </c>
      <c r="E243" s="105" t="s">
        <v>131</v>
      </c>
      <c r="F243" s="105" t="s">
        <v>68</v>
      </c>
      <c r="G243" s="105" t="str">
        <f>VLOOKUP(E243,ACHATS!$C:$D,2,0)</f>
        <v>SEMENCES</v>
      </c>
      <c r="H243" s="107">
        <v>0.44</v>
      </c>
      <c r="I243" s="107">
        <f>VLOOKUP(C243,PARCELLAIRE!$D$2:$F$29,3,0)</f>
        <v>4.12</v>
      </c>
      <c r="J243" s="107">
        <f t="shared" si="13"/>
        <v>1.8128</v>
      </c>
      <c r="K243" s="107">
        <f>VLOOKUP(E243,'COUT MOYEN'!$B$1:$E$71,4,0)</f>
        <v>248.577</v>
      </c>
      <c r="L243" s="108">
        <f t="shared" si="15"/>
        <v>450.62038559999996</v>
      </c>
      <c r="M243" s="108"/>
      <c r="N243" s="63" t="str">
        <f t="shared" si="14"/>
        <v>Picotalène Midi</v>
      </c>
      <c r="O243" s="172">
        <f>SUMPRODUCT(--(PARCELLAIRE!H$2:H$58=UTILISATIONS!N243))</f>
        <v>0</v>
      </c>
    </row>
    <row r="244" spans="1:15">
      <c r="A244" s="105">
        <v>2013</v>
      </c>
      <c r="B244" s="105" t="str">
        <f>INDEX(PARCELLAIRE!$B$2:$B$29,MATCH(UTILISATIONS!C244,PARCELLAIRE!$D$2:$D$29,0))</f>
        <v>TOURNESOL</v>
      </c>
      <c r="C244" s="105" t="s">
        <v>168</v>
      </c>
      <c r="D244" s="106">
        <v>41388</v>
      </c>
      <c r="E244" s="105" t="s">
        <v>131</v>
      </c>
      <c r="F244" s="105" t="s">
        <v>68</v>
      </c>
      <c r="G244" s="105" t="str">
        <f>VLOOKUP(E244,ACHATS!$C:$D,2,0)</f>
        <v>SEMENCES</v>
      </c>
      <c r="H244" s="107">
        <v>0.44</v>
      </c>
      <c r="I244" s="107">
        <f>VLOOKUP(C244,PARCELLAIRE!$D$2:$F$29,3,0)</f>
        <v>4.42</v>
      </c>
      <c r="J244" s="107">
        <f t="shared" si="13"/>
        <v>1.9448000000000001</v>
      </c>
      <c r="K244" s="107">
        <f>VLOOKUP(E244,'COUT MOYEN'!$B$1:$E$71,4,0)</f>
        <v>248.577</v>
      </c>
      <c r="L244" s="108">
        <f t="shared" si="15"/>
        <v>483.43254960000002</v>
      </c>
      <c r="M244" s="108"/>
      <c r="N244" s="63" t="str">
        <f t="shared" si="14"/>
        <v>Picotalène Nord</v>
      </c>
      <c r="O244" s="172">
        <f>SUMPRODUCT(--(PARCELLAIRE!H$2:H$58=UTILISATIONS!N244))</f>
        <v>0</v>
      </c>
    </row>
    <row r="245" spans="1:15">
      <c r="A245" s="105">
        <v>2013</v>
      </c>
      <c r="B245" s="105" t="str">
        <f>INDEX(PARCELLAIRE!$B$2:$B$29,MATCH(UTILISATIONS!C245,PARCELLAIRE!$D$2:$D$29,0))</f>
        <v>TOURNESOL</v>
      </c>
      <c r="C245" s="105" t="s">
        <v>169</v>
      </c>
      <c r="D245" s="106">
        <v>41388</v>
      </c>
      <c r="E245" s="105" t="s">
        <v>131</v>
      </c>
      <c r="F245" s="105" t="s">
        <v>68</v>
      </c>
      <c r="G245" s="105" t="str">
        <f>VLOOKUP(E245,ACHATS!$C:$D,2,0)</f>
        <v>SEMENCES</v>
      </c>
      <c r="H245" s="107">
        <v>0.44</v>
      </c>
      <c r="I245" s="107">
        <f>VLOOKUP(C245,PARCELLAIRE!$D$2:$F$29,3,0)</f>
        <v>12.06</v>
      </c>
      <c r="J245" s="107">
        <f t="shared" si="13"/>
        <v>5.3064</v>
      </c>
      <c r="K245" s="107">
        <f>VLOOKUP(E245,'COUT MOYEN'!$B$1:$E$71,4,0)</f>
        <v>248.577</v>
      </c>
      <c r="L245" s="108">
        <f t="shared" si="15"/>
        <v>1319.0489928</v>
      </c>
      <c r="M245" s="108"/>
      <c r="N245" s="63" t="str">
        <f t="shared" si="14"/>
        <v>Pourtanel</v>
      </c>
      <c r="O245" s="172">
        <f>SUMPRODUCT(--(PARCELLAIRE!H$2:H$58=UTILISATIONS!N245))</f>
        <v>0</v>
      </c>
    </row>
    <row r="246" spans="1:15">
      <c r="A246" s="105">
        <v>2013</v>
      </c>
      <c r="B246" s="105" t="str">
        <f>INDEX(PARCELLAIRE!$B$2:$B$29,MATCH(UTILISATIONS!C246,PARCELLAIRE!$D$2:$D$29,0))</f>
        <v xml:space="preserve">BLE DUR </v>
      </c>
      <c r="C246" s="105" t="s">
        <v>151</v>
      </c>
      <c r="D246" s="106">
        <v>41389</v>
      </c>
      <c r="E246" s="105" t="s">
        <v>14</v>
      </c>
      <c r="F246" s="105" t="s">
        <v>68</v>
      </c>
      <c r="G246" s="105" t="str">
        <f>VLOOKUP(E246,ACHATS!$C:$D,2,0)</f>
        <v>ENGRAIS</v>
      </c>
      <c r="H246" s="107">
        <v>130</v>
      </c>
      <c r="I246" s="107">
        <f>VLOOKUP(C246,PARCELLAIRE!$D$2:$F$29,3,0)</f>
        <v>7.58</v>
      </c>
      <c r="J246" s="107">
        <f t="shared" si="13"/>
        <v>985.4</v>
      </c>
      <c r="K246" s="107">
        <f>VLOOKUP(E246,'COUT MOYEN'!$B$1:$E$71,4,0)</f>
        <v>0.41883673469387755</v>
      </c>
      <c r="L246" s="108">
        <f t="shared" si="15"/>
        <v>412.72171836734691</v>
      </c>
      <c r="M246" s="108"/>
      <c r="N246" s="63" t="str">
        <f t="shared" si="14"/>
        <v>Escarcelou</v>
      </c>
      <c r="O246" s="172">
        <f>SUMPRODUCT(--(PARCELLAIRE!H$2:H$58=UTILISATIONS!N246))</f>
        <v>0</v>
      </c>
    </row>
    <row r="247" spans="1:15">
      <c r="A247" s="105">
        <v>2013</v>
      </c>
      <c r="B247" s="105" t="str">
        <f>INDEX(PARCELLAIRE!$B$2:$B$29,MATCH(UTILISATIONS!C247,PARCELLAIRE!$D$2:$D$29,0))</f>
        <v xml:space="preserve">BLE DUR </v>
      </c>
      <c r="C247" s="105" t="s">
        <v>176</v>
      </c>
      <c r="D247" s="106">
        <v>41389</v>
      </c>
      <c r="E247" s="105" t="s">
        <v>14</v>
      </c>
      <c r="F247" s="105" t="s">
        <v>68</v>
      </c>
      <c r="G247" s="105" t="str">
        <f>VLOOKUP(E247,ACHATS!$C:$D,2,0)</f>
        <v>ENGRAIS</v>
      </c>
      <c r="H247" s="107">
        <v>130</v>
      </c>
      <c r="I247" s="107">
        <f>VLOOKUP(C247,PARCELLAIRE!$D$2:$F$29,3,0)</f>
        <v>11.9</v>
      </c>
      <c r="J247" s="107">
        <f t="shared" si="13"/>
        <v>1547</v>
      </c>
      <c r="K247" s="107">
        <f>VLOOKUP(E247,'COUT MOYEN'!$B$1:$E$71,4,0)</f>
        <v>0.41883673469387755</v>
      </c>
      <c r="L247" s="108">
        <f t="shared" si="15"/>
        <v>647.94042857142858</v>
      </c>
      <c r="M247" s="108"/>
      <c r="N247" s="63" t="str">
        <f t="shared" si="14"/>
        <v>Labaou Devant</v>
      </c>
      <c r="O247" s="172">
        <f>SUMPRODUCT(--(PARCELLAIRE!H$2:H$58=UTILISATIONS!N247))</f>
        <v>0</v>
      </c>
    </row>
    <row r="248" spans="1:15">
      <c r="A248" s="105">
        <v>2013</v>
      </c>
      <c r="B248" s="105" t="str">
        <f>INDEX(PARCELLAIRE!$B$2:$B$29,MATCH(UTILISATIONS!C248,PARCELLAIRE!$D$2:$D$29,0))</f>
        <v xml:space="preserve">BLE DUR </v>
      </c>
      <c r="C248" s="105" t="s">
        <v>153</v>
      </c>
      <c r="D248" s="106">
        <v>41389</v>
      </c>
      <c r="E248" s="105" t="s">
        <v>14</v>
      </c>
      <c r="F248" s="105" t="s">
        <v>68</v>
      </c>
      <c r="G248" s="105" t="str">
        <f>VLOOKUP(E248,ACHATS!$C:$D,2,0)</f>
        <v>ENGRAIS</v>
      </c>
      <c r="H248" s="107">
        <v>130</v>
      </c>
      <c r="I248" s="107">
        <f>VLOOKUP(C248,PARCELLAIRE!$D$2:$F$29,3,0)</f>
        <v>7.5</v>
      </c>
      <c r="J248" s="107">
        <f t="shared" si="13"/>
        <v>975</v>
      </c>
      <c r="K248" s="107">
        <f>VLOOKUP(E248,'COUT MOYEN'!$B$1:$E$71,4,0)</f>
        <v>0.41883673469387755</v>
      </c>
      <c r="L248" s="108">
        <f t="shared" si="15"/>
        <v>408.36581632653059</v>
      </c>
      <c r="M248" s="108"/>
      <c r="N248" s="63" t="str">
        <f t="shared" si="14"/>
        <v>Escarcelou Pte</v>
      </c>
      <c r="O248" s="172">
        <f>SUMPRODUCT(--(PARCELLAIRE!H$2:H$58=UTILISATIONS!N248))</f>
        <v>0</v>
      </c>
    </row>
    <row r="249" spans="1:15">
      <c r="A249" s="105">
        <v>2013</v>
      </c>
      <c r="B249" s="105" t="str">
        <f>INDEX(PARCELLAIRE!$B$2:$B$29,MATCH(UTILISATIONS!C249,PARCELLAIRE!$D$2:$D$29,0))</f>
        <v xml:space="preserve">BLE DUR </v>
      </c>
      <c r="C249" s="105" t="s">
        <v>161</v>
      </c>
      <c r="D249" s="106">
        <v>41389</v>
      </c>
      <c r="E249" s="105" t="s">
        <v>14</v>
      </c>
      <c r="F249" s="105" t="s">
        <v>68</v>
      </c>
      <c r="G249" s="105" t="str">
        <f>VLOOKUP(E249,ACHATS!$C:$D,2,0)</f>
        <v>ENGRAIS</v>
      </c>
      <c r="H249" s="107">
        <v>130</v>
      </c>
      <c r="I249" s="107">
        <f>VLOOKUP(C249,PARCELLAIRE!$D$2:$F$29,3,0)</f>
        <v>5.07</v>
      </c>
      <c r="J249" s="107">
        <f t="shared" si="13"/>
        <v>659.1</v>
      </c>
      <c r="K249" s="107">
        <f>VLOOKUP(E249,'COUT MOYEN'!$B$1:$E$71,4,0)</f>
        <v>0.41883673469387755</v>
      </c>
      <c r="L249" s="108">
        <f t="shared" si="15"/>
        <v>276.05529183673468</v>
      </c>
      <c r="M249" s="108"/>
      <c r="N249" s="63" t="str">
        <f t="shared" si="14"/>
        <v>Laclos</v>
      </c>
      <c r="O249" s="172">
        <f>SUMPRODUCT(--(PARCELLAIRE!H$2:H$58=UTILISATIONS!N249))</f>
        <v>0</v>
      </c>
    </row>
    <row r="250" spans="1:15">
      <c r="A250" s="105">
        <v>2013</v>
      </c>
      <c r="B250" s="105" t="str">
        <f>INDEX(PARCELLAIRE!$B$2:$B$29,MATCH(UTILISATIONS!C250,PARCELLAIRE!$D$2:$D$29,0))</f>
        <v xml:space="preserve">BLE DUR </v>
      </c>
      <c r="C250" s="105" t="s">
        <v>170</v>
      </c>
      <c r="D250" s="106">
        <v>41389</v>
      </c>
      <c r="E250" s="105" t="s">
        <v>14</v>
      </c>
      <c r="F250" s="105" t="s">
        <v>68</v>
      </c>
      <c r="G250" s="105" t="str">
        <f>VLOOKUP(E250,ACHATS!$C:$D,2,0)</f>
        <v>ENGRAIS</v>
      </c>
      <c r="H250" s="107">
        <v>130</v>
      </c>
      <c r="I250" s="107">
        <f>VLOOKUP(C250,PARCELLAIRE!$D$2:$F$29,3,0)</f>
        <v>1.26</v>
      </c>
      <c r="J250" s="107">
        <f t="shared" si="13"/>
        <v>163.80000000000001</v>
      </c>
      <c r="K250" s="107">
        <f>VLOOKUP(E250,'COUT MOYEN'!$B$1:$E$71,4,0)</f>
        <v>0.41883673469387755</v>
      </c>
      <c r="L250" s="108">
        <f t="shared" si="15"/>
        <v>68.605457142857148</v>
      </c>
      <c r="M250" s="108"/>
      <c r="N250" s="63" t="str">
        <f t="shared" si="14"/>
        <v>Seillonne</v>
      </c>
      <c r="O250" s="172">
        <f>SUMPRODUCT(--(PARCELLAIRE!H$2:H$58=UTILISATIONS!N250))</f>
        <v>0</v>
      </c>
    </row>
    <row r="251" spans="1:15">
      <c r="A251" s="105">
        <v>2013</v>
      </c>
      <c r="B251" s="105" t="str">
        <f>INDEX(PARCELLAIRE!$B$2:$B$29,MATCH(UTILISATIONS!C251,PARCELLAIRE!$D$2:$D$29,0))</f>
        <v xml:space="preserve">BLE DUR </v>
      </c>
      <c r="C251" s="105" t="s">
        <v>162</v>
      </c>
      <c r="D251" s="106">
        <v>41389</v>
      </c>
      <c r="E251" s="105" t="s">
        <v>14</v>
      </c>
      <c r="F251" s="105" t="s">
        <v>68</v>
      </c>
      <c r="G251" s="105" t="str">
        <f>VLOOKUP(E251,ACHATS!$C:$D,2,0)</f>
        <v>ENGRAIS</v>
      </c>
      <c r="H251" s="107">
        <v>130</v>
      </c>
      <c r="I251" s="107">
        <f>VLOOKUP(C251,PARCELLAIRE!$D$2:$F$29,3,0)</f>
        <v>2.67</v>
      </c>
      <c r="J251" s="107">
        <f t="shared" si="13"/>
        <v>347.09999999999997</v>
      </c>
      <c r="K251" s="107">
        <f>VLOOKUP(E251,'COUT MOYEN'!$B$1:$E$71,4,0)</f>
        <v>0.41883673469387755</v>
      </c>
      <c r="L251" s="108">
        <f t="shared" si="15"/>
        <v>145.37823061224489</v>
      </c>
      <c r="M251" s="108"/>
      <c r="N251" s="63" t="str">
        <f t="shared" si="14"/>
        <v>Lescandes</v>
      </c>
      <c r="O251" s="172">
        <f>SUMPRODUCT(--(PARCELLAIRE!H$2:H$58=UTILISATIONS!N251))</f>
        <v>0</v>
      </c>
    </row>
    <row r="252" spans="1:15">
      <c r="A252" s="105">
        <v>2013</v>
      </c>
      <c r="B252" s="105" t="str">
        <f>INDEX(PARCELLAIRE!$B$2:$B$29,MATCH(UTILISATIONS!C252,PARCELLAIRE!$D$2:$D$29,0))</f>
        <v xml:space="preserve">BLE DUR </v>
      </c>
      <c r="C252" s="105" t="s">
        <v>172</v>
      </c>
      <c r="D252" s="106">
        <v>41389</v>
      </c>
      <c r="E252" s="105" t="s">
        <v>14</v>
      </c>
      <c r="F252" s="105" t="s">
        <v>68</v>
      </c>
      <c r="G252" s="105" t="str">
        <f>VLOOKUP(E252,ACHATS!$C:$D,2,0)</f>
        <v>ENGRAIS</v>
      </c>
      <c r="H252" s="107">
        <v>130</v>
      </c>
      <c r="I252" s="107">
        <f>VLOOKUP(C252,PARCELLAIRE!$D$2:$F$29,3,0)</f>
        <v>16.440000000000001</v>
      </c>
      <c r="J252" s="107">
        <f t="shared" si="13"/>
        <v>2137.2000000000003</v>
      </c>
      <c r="K252" s="107">
        <f>VLOOKUP(E252,'COUT MOYEN'!$B$1:$E$71,4,0)</f>
        <v>0.41883673469387755</v>
      </c>
      <c r="L252" s="108">
        <f t="shared" si="15"/>
        <v>895.13786938775525</v>
      </c>
      <c r="M252" s="108"/>
      <c r="N252" s="63" t="str">
        <f t="shared" si="14"/>
        <v>Lescandes Côteau</v>
      </c>
      <c r="O252" s="172">
        <f>SUMPRODUCT(--(PARCELLAIRE!H$2:H$58=UTILISATIONS!N252))</f>
        <v>0</v>
      </c>
    </row>
    <row r="253" spans="1:15">
      <c r="A253" s="105">
        <v>2013</v>
      </c>
      <c r="B253" s="105" t="str">
        <f>INDEX(PARCELLAIRE!$B$2:$B$29,MATCH(UTILISATIONS!C253,PARCELLAIRE!$D$2:$D$29,0))</f>
        <v xml:space="preserve">BLE DUR </v>
      </c>
      <c r="C253" s="105" t="s">
        <v>144</v>
      </c>
      <c r="D253" s="106">
        <v>41389</v>
      </c>
      <c r="E253" s="105" t="s">
        <v>14</v>
      </c>
      <c r="F253" s="105" t="s">
        <v>68</v>
      </c>
      <c r="G253" s="105" t="str">
        <f>VLOOKUP(E253,ACHATS!$C:$D,2,0)</f>
        <v>ENGRAIS</v>
      </c>
      <c r="H253" s="107">
        <v>145</v>
      </c>
      <c r="I253" s="107">
        <f>VLOOKUP(C253,PARCELLAIRE!$D$2:$F$29,3,0)</f>
        <v>5.27</v>
      </c>
      <c r="J253" s="107">
        <f t="shared" si="13"/>
        <v>764.15</v>
      </c>
      <c r="K253" s="107">
        <f>VLOOKUP(E253,'COUT MOYEN'!$B$1:$E$71,4,0)</f>
        <v>0.41883673469387755</v>
      </c>
      <c r="L253" s="108">
        <f t="shared" si="15"/>
        <v>320.05409081632655</v>
      </c>
      <c r="M253" s="108"/>
      <c r="N253" s="63" t="str">
        <f t="shared" si="14"/>
        <v>Bousquet Château</v>
      </c>
      <c r="O253" s="172">
        <f>SUMPRODUCT(--(PARCELLAIRE!H$2:H$58=UTILISATIONS!N253))</f>
        <v>0</v>
      </c>
    </row>
    <row r="254" spans="1:15">
      <c r="A254" s="105">
        <v>2013</v>
      </c>
      <c r="B254" s="105" t="str">
        <f>INDEX(PARCELLAIRE!$B$2:$B$29,MATCH(UTILISATIONS!C254,PARCELLAIRE!$D$2:$D$29,0))</f>
        <v xml:space="preserve">BLE DUR </v>
      </c>
      <c r="C254" s="105" t="s">
        <v>147</v>
      </c>
      <c r="D254" s="106">
        <v>41389</v>
      </c>
      <c r="E254" s="105" t="s">
        <v>14</v>
      </c>
      <c r="F254" s="105" t="s">
        <v>68</v>
      </c>
      <c r="G254" s="105" t="str">
        <f>VLOOKUP(E254,ACHATS!$C:$D,2,0)</f>
        <v>ENGRAIS</v>
      </c>
      <c r="H254" s="107">
        <v>145</v>
      </c>
      <c r="I254" s="107">
        <f>VLOOKUP(C254,PARCELLAIRE!$D$2:$F$29,3,0)</f>
        <v>5.67</v>
      </c>
      <c r="J254" s="107">
        <f t="shared" si="13"/>
        <v>822.15</v>
      </c>
      <c r="K254" s="107">
        <f>VLOOKUP(E254,'COUT MOYEN'!$B$1:$E$71,4,0)</f>
        <v>0.41883673469387755</v>
      </c>
      <c r="L254" s="108">
        <f t="shared" si="15"/>
        <v>344.34662142857144</v>
      </c>
      <c r="M254" s="108"/>
      <c r="N254" s="63" t="str">
        <f t="shared" si="14"/>
        <v>Bousquet Route</v>
      </c>
      <c r="O254" s="172">
        <f>SUMPRODUCT(--(PARCELLAIRE!H$2:H$58=UTILISATIONS!N254))</f>
        <v>0</v>
      </c>
    </row>
    <row r="255" spans="1:15">
      <c r="A255" s="105">
        <v>2013</v>
      </c>
      <c r="B255" s="105" t="str">
        <f>INDEX(PARCELLAIRE!$B$2:$B$29,MATCH(UTILISATIONS!C255,PARCELLAIRE!$D$2:$D$29,0))</f>
        <v xml:space="preserve">BLE DUR </v>
      </c>
      <c r="C255" s="105" t="s">
        <v>174</v>
      </c>
      <c r="D255" s="106">
        <v>41389</v>
      </c>
      <c r="E255" s="105" t="s">
        <v>14</v>
      </c>
      <c r="F255" s="105" t="s">
        <v>68</v>
      </c>
      <c r="G255" s="105" t="str">
        <f>VLOOKUP(E255,ACHATS!$C:$D,2,0)</f>
        <v>ENGRAIS</v>
      </c>
      <c r="H255" s="107">
        <v>160</v>
      </c>
      <c r="I255" s="107">
        <f>VLOOKUP(C255,PARCELLAIRE!$D$2:$F$29,3,0)</f>
        <v>12.49</v>
      </c>
      <c r="J255" s="107">
        <f t="shared" si="13"/>
        <v>1998.4</v>
      </c>
      <c r="K255" s="107">
        <f>VLOOKUP(E255,'COUT MOYEN'!$B$1:$E$71,4,0)</f>
        <v>0.41883673469387755</v>
      </c>
      <c r="L255" s="108">
        <f t="shared" si="15"/>
        <v>837.00333061224489</v>
      </c>
      <c r="M255" s="108"/>
      <c r="N255" s="63" t="str">
        <f t="shared" si="14"/>
        <v>Engleyse Bousquet</v>
      </c>
      <c r="O255" s="172">
        <f>SUMPRODUCT(--(PARCELLAIRE!H$2:H$58=UTILISATIONS!N255))</f>
        <v>0</v>
      </c>
    </row>
    <row r="256" spans="1:15">
      <c r="A256" s="105">
        <v>2013</v>
      </c>
      <c r="B256" s="105" t="str">
        <f>INDEX(PARCELLAIRE!$B$2:$B$29,MATCH(UTILISATIONS!C256,PARCELLAIRE!$D$2:$D$29,0))</f>
        <v>BLE TENDRE</v>
      </c>
      <c r="C256" s="105" t="s">
        <v>160</v>
      </c>
      <c r="D256" s="106">
        <v>41389</v>
      </c>
      <c r="E256" s="105" t="s">
        <v>14</v>
      </c>
      <c r="F256" s="105" t="s">
        <v>68</v>
      </c>
      <c r="G256" s="105" t="str">
        <f>VLOOKUP(E256,ACHATS!$C:$D,2,0)</f>
        <v>ENGRAIS</v>
      </c>
      <c r="H256" s="107">
        <v>130</v>
      </c>
      <c r="I256" s="107">
        <f>VLOOKUP(C256,PARCELLAIRE!$D$2:$F$29,3,0)</f>
        <v>17.55</v>
      </c>
      <c r="J256" s="107">
        <f t="shared" si="13"/>
        <v>2281.5</v>
      </c>
      <c r="K256" s="107">
        <f>VLOOKUP(E256,'COUT MOYEN'!$B$1:$E$71,4,0)</f>
        <v>0.41883673469387755</v>
      </c>
      <c r="L256" s="108">
        <f t="shared" si="15"/>
        <v>955.57601020408163</v>
      </c>
      <c r="M256" s="108"/>
      <c r="N256" s="63" t="str">
        <f t="shared" si="14"/>
        <v>Labaou Plaine</v>
      </c>
      <c r="O256" s="172">
        <f>SUMPRODUCT(--(PARCELLAIRE!H$2:H$58=UTILISATIONS!N256))</f>
        <v>1</v>
      </c>
    </row>
    <row r="257" spans="1:15">
      <c r="A257" s="110">
        <v>2013</v>
      </c>
      <c r="B257" s="105" t="str">
        <f>INDEX(PARCELLAIRE!$B$2:$B$29,MATCH(UTILISATIONS!C257,PARCELLAIRE!$D$2:$D$29,0))</f>
        <v xml:space="preserve">BLE DUR </v>
      </c>
      <c r="C257" s="110" t="s">
        <v>152</v>
      </c>
      <c r="D257" s="109">
        <v>41389</v>
      </c>
      <c r="E257" s="110" t="s">
        <v>14</v>
      </c>
      <c r="F257" s="110" t="s">
        <v>68</v>
      </c>
      <c r="G257" s="105" t="str">
        <f>VLOOKUP(E257,ACHATS!$C:$D,2,0)</f>
        <v>ENGRAIS</v>
      </c>
      <c r="H257" s="111">
        <v>130</v>
      </c>
      <c r="I257" s="107">
        <f>VLOOKUP(C257,PARCELLAIRE!$D$2:$F$29,3,0)</f>
        <v>1.34</v>
      </c>
      <c r="J257" s="107">
        <f t="shared" si="13"/>
        <v>174.20000000000002</v>
      </c>
      <c r="K257" s="107">
        <f>VLOOKUP(E257,'COUT MOYEN'!$B$1:$E$71,4,0)</f>
        <v>0.41883673469387755</v>
      </c>
      <c r="L257" s="112">
        <v>408.37</v>
      </c>
      <c r="M257" s="112"/>
      <c r="N257" s="63" t="str">
        <f t="shared" si="14"/>
        <v>Escarcelou Jachère</v>
      </c>
      <c r="O257" s="172">
        <f>SUMPRODUCT(--(PARCELLAIRE!H$2:H$58=UTILISATIONS!N257))</f>
        <v>0</v>
      </c>
    </row>
    <row r="258" spans="1:15">
      <c r="A258" s="105">
        <v>2013</v>
      </c>
      <c r="B258" s="105" t="str">
        <f>INDEX(PARCELLAIRE!$B$2:$B$29,MATCH(UTILISATIONS!C258,PARCELLAIRE!$D$2:$D$29,0))</f>
        <v>BLE TENDRE</v>
      </c>
      <c r="C258" s="105" t="s">
        <v>160</v>
      </c>
      <c r="D258" s="106">
        <v>41396</v>
      </c>
      <c r="E258" s="105" t="s">
        <v>72</v>
      </c>
      <c r="F258" s="105" t="s">
        <v>69</v>
      </c>
      <c r="G258" s="105" t="str">
        <f>VLOOKUP(E258,ACHATS!$C:$D,2,0)</f>
        <v>FONGICIDES</v>
      </c>
      <c r="H258" s="107">
        <v>0.3</v>
      </c>
      <c r="I258" s="107">
        <f>VLOOKUP(C258,PARCELLAIRE!$D$2:$F$29,3,0)</f>
        <v>17.55</v>
      </c>
      <c r="J258" s="107">
        <f t="shared" ref="J258:J321" si="16">I258*H258</f>
        <v>5.2649999999999997</v>
      </c>
      <c r="K258" s="107">
        <f>VLOOKUP(E258,'COUT MOYEN'!$B$1:$E$71,4,0)</f>
        <v>37</v>
      </c>
      <c r="L258" s="108">
        <f t="shared" ref="L258:L303" si="17">K258*J258</f>
        <v>194.80499999999998</v>
      </c>
      <c r="M258" s="108"/>
      <c r="N258" s="63" t="str">
        <f t="shared" ref="N258:N321" si="18">IF(WHEN=A258,C258,1)</f>
        <v>Labaou Plaine</v>
      </c>
      <c r="O258" s="172">
        <f>SUMPRODUCT(--(PARCELLAIRE!H$2:H$58=UTILISATIONS!N258))</f>
        <v>1</v>
      </c>
    </row>
    <row r="259" spans="1:15">
      <c r="A259" s="105">
        <v>2013</v>
      </c>
      <c r="B259" s="105" t="str">
        <f>INDEX(PARCELLAIRE!$B$2:$B$29,MATCH(UTILISATIONS!C259,PARCELLAIRE!$D$2:$D$29,0))</f>
        <v xml:space="preserve">BLE DUR </v>
      </c>
      <c r="C259" s="105" t="s">
        <v>144</v>
      </c>
      <c r="D259" s="106">
        <v>41396</v>
      </c>
      <c r="E259" s="105" t="s">
        <v>72</v>
      </c>
      <c r="F259" s="105" t="s">
        <v>69</v>
      </c>
      <c r="G259" s="105" t="str">
        <f>VLOOKUP(E259,ACHATS!$C:$D,2,0)</f>
        <v>FONGICIDES</v>
      </c>
      <c r="H259" s="107">
        <v>0.3</v>
      </c>
      <c r="I259" s="107">
        <f>VLOOKUP(C259,PARCELLAIRE!$D$2:$F$29,3,0)</f>
        <v>5.27</v>
      </c>
      <c r="J259" s="107">
        <f t="shared" si="16"/>
        <v>1.5809999999999997</v>
      </c>
      <c r="K259" s="107">
        <f>VLOOKUP(E259,'COUT MOYEN'!$B$1:$E$71,4,0)</f>
        <v>37</v>
      </c>
      <c r="L259" s="108">
        <f t="shared" si="17"/>
        <v>58.496999999999993</v>
      </c>
      <c r="M259" s="108"/>
      <c r="N259" s="63" t="str">
        <f t="shared" si="18"/>
        <v>Bousquet Château</v>
      </c>
      <c r="O259" s="172">
        <f>SUMPRODUCT(--(PARCELLAIRE!H$2:H$58=UTILISATIONS!N259))</f>
        <v>0</v>
      </c>
    </row>
    <row r="260" spans="1:15">
      <c r="A260" s="105">
        <v>2013</v>
      </c>
      <c r="B260" s="105" t="str">
        <f>INDEX(PARCELLAIRE!$B$2:$B$29,MATCH(UTILISATIONS!C260,PARCELLAIRE!$D$2:$D$29,0))</f>
        <v xml:space="preserve">BLE DUR </v>
      </c>
      <c r="C260" s="105" t="s">
        <v>147</v>
      </c>
      <c r="D260" s="106">
        <v>41396</v>
      </c>
      <c r="E260" s="105" t="s">
        <v>72</v>
      </c>
      <c r="F260" s="105" t="s">
        <v>69</v>
      </c>
      <c r="G260" s="105" t="str">
        <f>VLOOKUP(E260,ACHATS!$C:$D,2,0)</f>
        <v>FONGICIDES</v>
      </c>
      <c r="H260" s="107">
        <v>0.3</v>
      </c>
      <c r="I260" s="107">
        <f>VLOOKUP(C260,PARCELLAIRE!$D$2:$F$29,3,0)</f>
        <v>5.67</v>
      </c>
      <c r="J260" s="107">
        <f t="shared" si="16"/>
        <v>1.7009999999999998</v>
      </c>
      <c r="K260" s="107">
        <f>VLOOKUP(E260,'COUT MOYEN'!$B$1:$E$71,4,0)</f>
        <v>37</v>
      </c>
      <c r="L260" s="108">
        <f t="shared" si="17"/>
        <v>62.936999999999998</v>
      </c>
      <c r="M260" s="108"/>
      <c r="N260" s="63" t="str">
        <f t="shared" si="18"/>
        <v>Bousquet Route</v>
      </c>
      <c r="O260" s="172">
        <f>SUMPRODUCT(--(PARCELLAIRE!H$2:H$58=UTILISATIONS!N260))</f>
        <v>0</v>
      </c>
    </row>
    <row r="261" spans="1:15">
      <c r="A261" s="105">
        <v>2013</v>
      </c>
      <c r="B261" s="105" t="str">
        <f>INDEX(PARCELLAIRE!$B$2:$B$29,MATCH(UTILISATIONS!C261,PARCELLAIRE!$D$2:$D$29,0))</f>
        <v xml:space="preserve">BLE DUR </v>
      </c>
      <c r="C261" s="105" t="s">
        <v>174</v>
      </c>
      <c r="D261" s="106">
        <v>41396</v>
      </c>
      <c r="E261" s="105" t="s">
        <v>72</v>
      </c>
      <c r="F261" s="105" t="s">
        <v>69</v>
      </c>
      <c r="G261" s="105" t="str">
        <f>VLOOKUP(E261,ACHATS!$C:$D,2,0)</f>
        <v>FONGICIDES</v>
      </c>
      <c r="H261" s="107">
        <v>0.3</v>
      </c>
      <c r="I261" s="107">
        <f>VLOOKUP(C261,PARCELLAIRE!$D$2:$F$29,3,0)</f>
        <v>12.49</v>
      </c>
      <c r="J261" s="107">
        <f t="shared" si="16"/>
        <v>3.7469999999999999</v>
      </c>
      <c r="K261" s="107">
        <f>VLOOKUP(E261,'COUT MOYEN'!$B$1:$E$71,4,0)</f>
        <v>37</v>
      </c>
      <c r="L261" s="108">
        <f t="shared" si="17"/>
        <v>138.63900000000001</v>
      </c>
      <c r="M261" s="108"/>
      <c r="N261" s="63" t="str">
        <f t="shared" si="18"/>
        <v>Engleyse Bousquet</v>
      </c>
      <c r="O261" s="172">
        <f>SUMPRODUCT(--(PARCELLAIRE!H$2:H$58=UTILISATIONS!N261))</f>
        <v>0</v>
      </c>
    </row>
    <row r="262" spans="1:15">
      <c r="A262" s="105">
        <v>2013</v>
      </c>
      <c r="B262" s="105" t="str">
        <f>INDEX(PARCELLAIRE!$B$2:$B$29,MATCH(UTILISATIONS!C262,PARCELLAIRE!$D$2:$D$29,0))</f>
        <v xml:space="preserve">BLE DUR </v>
      </c>
      <c r="C262" s="105" t="s">
        <v>151</v>
      </c>
      <c r="D262" s="106">
        <v>41396</v>
      </c>
      <c r="E262" s="105" t="s">
        <v>72</v>
      </c>
      <c r="F262" s="105" t="s">
        <v>69</v>
      </c>
      <c r="G262" s="105" t="str">
        <f>VLOOKUP(E262,ACHATS!$C:$D,2,0)</f>
        <v>FONGICIDES</v>
      </c>
      <c r="H262" s="107">
        <v>0.3</v>
      </c>
      <c r="I262" s="107">
        <f>VLOOKUP(C262,PARCELLAIRE!$D$2:$F$29,3,0)</f>
        <v>7.58</v>
      </c>
      <c r="J262" s="107">
        <f t="shared" si="16"/>
        <v>2.274</v>
      </c>
      <c r="K262" s="107">
        <f>VLOOKUP(E262,'COUT MOYEN'!$B$1:$E$71,4,0)</f>
        <v>37</v>
      </c>
      <c r="L262" s="108">
        <f t="shared" si="17"/>
        <v>84.138000000000005</v>
      </c>
      <c r="M262" s="108"/>
      <c r="N262" s="63" t="str">
        <f t="shared" si="18"/>
        <v>Escarcelou</v>
      </c>
      <c r="O262" s="172">
        <f>SUMPRODUCT(--(PARCELLAIRE!H$2:H$58=UTILISATIONS!N262))</f>
        <v>0</v>
      </c>
    </row>
    <row r="263" spans="1:15">
      <c r="A263" s="105">
        <v>2013</v>
      </c>
      <c r="B263" s="105" t="str">
        <f>INDEX(PARCELLAIRE!$B$2:$B$29,MATCH(UTILISATIONS!C263,PARCELLAIRE!$D$2:$D$29,0))</f>
        <v xml:space="preserve">BLE DUR </v>
      </c>
      <c r="C263" s="105" t="s">
        <v>176</v>
      </c>
      <c r="D263" s="106">
        <v>41396</v>
      </c>
      <c r="E263" s="105" t="s">
        <v>72</v>
      </c>
      <c r="F263" s="105" t="s">
        <v>69</v>
      </c>
      <c r="G263" s="105" t="str">
        <f>VLOOKUP(E263,ACHATS!$C:$D,2,0)</f>
        <v>FONGICIDES</v>
      </c>
      <c r="H263" s="107">
        <v>0.3</v>
      </c>
      <c r="I263" s="107">
        <f>VLOOKUP(C263,PARCELLAIRE!$D$2:$F$29,3,0)</f>
        <v>11.9</v>
      </c>
      <c r="J263" s="107">
        <f t="shared" si="16"/>
        <v>3.57</v>
      </c>
      <c r="K263" s="107">
        <f>VLOOKUP(E263,'COUT MOYEN'!$B$1:$E$71,4,0)</f>
        <v>37</v>
      </c>
      <c r="L263" s="108">
        <f t="shared" si="17"/>
        <v>132.09</v>
      </c>
      <c r="M263" s="108"/>
      <c r="N263" s="63" t="str">
        <f t="shared" si="18"/>
        <v>Labaou Devant</v>
      </c>
      <c r="O263" s="172">
        <f>SUMPRODUCT(--(PARCELLAIRE!H$2:H$58=UTILISATIONS!N263))</f>
        <v>0</v>
      </c>
    </row>
    <row r="264" spans="1:15">
      <c r="A264" s="105">
        <v>2013</v>
      </c>
      <c r="B264" s="105" t="str">
        <f>INDEX(PARCELLAIRE!$B$2:$B$29,MATCH(UTILISATIONS!C264,PARCELLAIRE!$D$2:$D$29,0))</f>
        <v xml:space="preserve">BLE DUR </v>
      </c>
      <c r="C264" s="105" t="s">
        <v>153</v>
      </c>
      <c r="D264" s="106">
        <v>41396</v>
      </c>
      <c r="E264" s="105" t="s">
        <v>72</v>
      </c>
      <c r="F264" s="105" t="s">
        <v>69</v>
      </c>
      <c r="G264" s="105" t="str">
        <f>VLOOKUP(E264,ACHATS!$C:$D,2,0)</f>
        <v>FONGICIDES</v>
      </c>
      <c r="H264" s="107">
        <v>0.3</v>
      </c>
      <c r="I264" s="107">
        <f>VLOOKUP(C264,PARCELLAIRE!$D$2:$F$29,3,0)</f>
        <v>7.5</v>
      </c>
      <c r="J264" s="107">
        <f t="shared" si="16"/>
        <v>2.25</v>
      </c>
      <c r="K264" s="107">
        <f>VLOOKUP(E264,'COUT MOYEN'!$B$1:$E$71,4,0)</f>
        <v>37</v>
      </c>
      <c r="L264" s="108">
        <f t="shared" si="17"/>
        <v>83.25</v>
      </c>
      <c r="M264" s="108"/>
      <c r="N264" s="63" t="str">
        <f t="shared" si="18"/>
        <v>Escarcelou Pte</v>
      </c>
      <c r="O264" s="172">
        <f>SUMPRODUCT(--(PARCELLAIRE!H$2:H$58=UTILISATIONS!N264))</f>
        <v>0</v>
      </c>
    </row>
    <row r="265" spans="1:15">
      <c r="A265" s="105">
        <v>2013</v>
      </c>
      <c r="B265" s="105" t="str">
        <f>INDEX(PARCELLAIRE!$B$2:$B$29,MATCH(UTILISATIONS!C265,PARCELLAIRE!$D$2:$D$29,0))</f>
        <v xml:space="preserve">BLE DUR </v>
      </c>
      <c r="C265" s="105" t="s">
        <v>161</v>
      </c>
      <c r="D265" s="106">
        <v>41396</v>
      </c>
      <c r="E265" s="105" t="s">
        <v>72</v>
      </c>
      <c r="F265" s="105" t="s">
        <v>69</v>
      </c>
      <c r="G265" s="105" t="str">
        <f>VLOOKUP(E265,ACHATS!$C:$D,2,0)</f>
        <v>FONGICIDES</v>
      </c>
      <c r="H265" s="107">
        <v>0.3</v>
      </c>
      <c r="I265" s="107">
        <f>VLOOKUP(C265,PARCELLAIRE!$D$2:$F$29,3,0)</f>
        <v>5.07</v>
      </c>
      <c r="J265" s="107">
        <f t="shared" si="16"/>
        <v>1.5210000000000001</v>
      </c>
      <c r="K265" s="107">
        <f>VLOOKUP(E265,'COUT MOYEN'!$B$1:$E$71,4,0)</f>
        <v>37</v>
      </c>
      <c r="L265" s="108">
        <f t="shared" si="17"/>
        <v>56.277000000000008</v>
      </c>
      <c r="M265" s="108"/>
      <c r="N265" s="63" t="str">
        <f t="shared" si="18"/>
        <v>Laclos</v>
      </c>
      <c r="O265" s="172">
        <f>SUMPRODUCT(--(PARCELLAIRE!H$2:H$58=UTILISATIONS!N265))</f>
        <v>0</v>
      </c>
    </row>
    <row r="266" spans="1:15">
      <c r="A266" s="105">
        <v>2013</v>
      </c>
      <c r="B266" s="105" t="str">
        <f>INDEX(PARCELLAIRE!$B$2:$B$29,MATCH(UTILISATIONS!C266,PARCELLAIRE!$D$2:$D$29,0))</f>
        <v xml:space="preserve">BLE DUR </v>
      </c>
      <c r="C266" s="105" t="s">
        <v>162</v>
      </c>
      <c r="D266" s="106">
        <v>41396</v>
      </c>
      <c r="E266" s="105" t="s">
        <v>72</v>
      </c>
      <c r="F266" s="105" t="s">
        <v>69</v>
      </c>
      <c r="G266" s="105" t="str">
        <f>VLOOKUP(E266,ACHATS!$C:$D,2,0)</f>
        <v>FONGICIDES</v>
      </c>
      <c r="H266" s="107">
        <v>0.3</v>
      </c>
      <c r="I266" s="107">
        <f>VLOOKUP(C266,PARCELLAIRE!$D$2:$F$29,3,0)</f>
        <v>2.67</v>
      </c>
      <c r="J266" s="107">
        <f t="shared" si="16"/>
        <v>0.80099999999999993</v>
      </c>
      <c r="K266" s="107">
        <f>VLOOKUP(E266,'COUT MOYEN'!$B$1:$E$71,4,0)</f>
        <v>37</v>
      </c>
      <c r="L266" s="108">
        <f t="shared" si="17"/>
        <v>29.636999999999997</v>
      </c>
      <c r="M266" s="108"/>
      <c r="N266" s="63" t="str">
        <f t="shared" si="18"/>
        <v>Lescandes</v>
      </c>
      <c r="O266" s="172">
        <f>SUMPRODUCT(--(PARCELLAIRE!H$2:H$58=UTILISATIONS!N266))</f>
        <v>0</v>
      </c>
    </row>
    <row r="267" spans="1:15">
      <c r="A267" s="105">
        <v>2013</v>
      </c>
      <c r="B267" s="105" t="str">
        <f>INDEX(PARCELLAIRE!$B$2:$B$29,MATCH(UTILISATIONS!C267,PARCELLAIRE!$D$2:$D$29,0))</f>
        <v xml:space="preserve">BLE DUR </v>
      </c>
      <c r="C267" s="105" t="s">
        <v>172</v>
      </c>
      <c r="D267" s="106">
        <v>41396</v>
      </c>
      <c r="E267" s="105" t="s">
        <v>72</v>
      </c>
      <c r="F267" s="105" t="s">
        <v>69</v>
      </c>
      <c r="G267" s="105" t="str">
        <f>VLOOKUP(E267,ACHATS!$C:$D,2,0)</f>
        <v>FONGICIDES</v>
      </c>
      <c r="H267" s="107">
        <v>0.3</v>
      </c>
      <c r="I267" s="107">
        <f>VLOOKUP(C267,PARCELLAIRE!$D$2:$F$29,3,0)</f>
        <v>16.440000000000001</v>
      </c>
      <c r="J267" s="107">
        <f t="shared" si="16"/>
        <v>4.9320000000000004</v>
      </c>
      <c r="K267" s="107">
        <f>VLOOKUP(E267,'COUT MOYEN'!$B$1:$E$71,4,0)</f>
        <v>37</v>
      </c>
      <c r="L267" s="108">
        <f t="shared" si="17"/>
        <v>182.48400000000001</v>
      </c>
      <c r="M267" s="108"/>
      <c r="N267" s="63" t="str">
        <f t="shared" si="18"/>
        <v>Lescandes Côteau</v>
      </c>
      <c r="O267" s="172">
        <f>SUMPRODUCT(--(PARCELLAIRE!H$2:H$58=UTILISATIONS!N267))</f>
        <v>0</v>
      </c>
    </row>
    <row r="268" spans="1:15">
      <c r="A268" s="105">
        <v>2013</v>
      </c>
      <c r="B268" s="105" t="str">
        <f>INDEX(PARCELLAIRE!$B$2:$B$29,MATCH(UTILISATIONS!C268,PARCELLAIRE!$D$2:$D$29,0))</f>
        <v xml:space="preserve">BLE DUR </v>
      </c>
      <c r="C268" s="105" t="s">
        <v>170</v>
      </c>
      <c r="D268" s="106">
        <v>41396</v>
      </c>
      <c r="E268" s="105" t="s">
        <v>72</v>
      </c>
      <c r="F268" s="105" t="s">
        <v>69</v>
      </c>
      <c r="G268" s="105" t="str">
        <f>VLOOKUP(E268,ACHATS!$C:$D,2,0)</f>
        <v>FONGICIDES</v>
      </c>
      <c r="H268" s="107">
        <v>0.3</v>
      </c>
      <c r="I268" s="107">
        <f>VLOOKUP(C268,PARCELLAIRE!$D$2:$F$29,3,0)</f>
        <v>1.26</v>
      </c>
      <c r="J268" s="107">
        <f t="shared" si="16"/>
        <v>0.378</v>
      </c>
      <c r="K268" s="107">
        <f>VLOOKUP(E268,'COUT MOYEN'!$B$1:$E$71,4,0)</f>
        <v>37</v>
      </c>
      <c r="L268" s="108">
        <f t="shared" si="17"/>
        <v>13.986000000000001</v>
      </c>
      <c r="M268" s="108"/>
      <c r="N268" s="63" t="str">
        <f t="shared" si="18"/>
        <v>Seillonne</v>
      </c>
      <c r="O268" s="172">
        <f>SUMPRODUCT(--(PARCELLAIRE!H$2:H$58=UTILISATIONS!N268))</f>
        <v>0</v>
      </c>
    </row>
    <row r="269" spans="1:15">
      <c r="A269" s="105">
        <v>2013</v>
      </c>
      <c r="B269" s="105" t="str">
        <f>INDEX(PARCELLAIRE!$B$2:$B$29,MATCH(UTILISATIONS!C269,PARCELLAIRE!$D$2:$D$29,0))</f>
        <v>BLE TENDRE</v>
      </c>
      <c r="C269" s="105" t="s">
        <v>160</v>
      </c>
      <c r="D269" s="106">
        <v>41396</v>
      </c>
      <c r="E269" s="105" t="s">
        <v>86</v>
      </c>
      <c r="F269" s="105" t="s">
        <v>69</v>
      </c>
      <c r="G269" s="105" t="str">
        <f>VLOOKUP(E269,ACHATS!$C:$D,2,0)</f>
        <v>FONGICIDES</v>
      </c>
      <c r="H269" s="107">
        <v>0.6</v>
      </c>
      <c r="I269" s="107">
        <f>VLOOKUP(C269,PARCELLAIRE!$D$2:$F$29,3,0)</f>
        <v>17.55</v>
      </c>
      <c r="J269" s="107">
        <f t="shared" si="16"/>
        <v>10.53</v>
      </c>
      <c r="K269" s="107">
        <f>VLOOKUP(E269,'COUT MOYEN'!$B$1:$E$71,4,0)</f>
        <v>30.91</v>
      </c>
      <c r="L269" s="108">
        <f t="shared" si="17"/>
        <v>325.48230000000001</v>
      </c>
      <c r="M269" s="108"/>
      <c r="N269" s="63" t="str">
        <f t="shared" si="18"/>
        <v>Labaou Plaine</v>
      </c>
      <c r="O269" s="172">
        <f>SUMPRODUCT(--(PARCELLAIRE!H$2:H$58=UTILISATIONS!N269))</f>
        <v>1</v>
      </c>
    </row>
    <row r="270" spans="1:15">
      <c r="A270" s="105">
        <v>2013</v>
      </c>
      <c r="B270" s="105" t="str">
        <f>INDEX(PARCELLAIRE!$B$2:$B$29,MATCH(UTILISATIONS!C270,PARCELLAIRE!$D$2:$D$29,0))</f>
        <v xml:space="preserve">BLE DUR </v>
      </c>
      <c r="C270" s="105" t="s">
        <v>174</v>
      </c>
      <c r="D270" s="106">
        <v>41396</v>
      </c>
      <c r="E270" s="105" t="s">
        <v>86</v>
      </c>
      <c r="F270" s="105" t="s">
        <v>69</v>
      </c>
      <c r="G270" s="105" t="str">
        <f>VLOOKUP(E270,ACHATS!$C:$D,2,0)</f>
        <v>FONGICIDES</v>
      </c>
      <c r="H270" s="107">
        <v>0.6</v>
      </c>
      <c r="I270" s="107">
        <f>VLOOKUP(C270,PARCELLAIRE!$D$2:$F$29,3,0)</f>
        <v>12.49</v>
      </c>
      <c r="J270" s="107">
        <f t="shared" si="16"/>
        <v>7.4939999999999998</v>
      </c>
      <c r="K270" s="107">
        <f>VLOOKUP(E270,'COUT MOYEN'!$B$1:$E$71,4,0)</f>
        <v>30.91</v>
      </c>
      <c r="L270" s="108">
        <f t="shared" si="17"/>
        <v>231.63953999999998</v>
      </c>
      <c r="M270" s="108"/>
      <c r="N270" s="63" t="str">
        <f t="shared" si="18"/>
        <v>Engleyse Bousquet</v>
      </c>
      <c r="O270" s="172">
        <f>SUMPRODUCT(--(PARCELLAIRE!H$2:H$58=UTILISATIONS!N270))</f>
        <v>0</v>
      </c>
    </row>
    <row r="271" spans="1:15">
      <c r="A271" s="105">
        <v>2013</v>
      </c>
      <c r="B271" s="105" t="str">
        <f>INDEX(PARCELLAIRE!$B$2:$B$29,MATCH(UTILISATIONS!C271,PARCELLAIRE!$D$2:$D$29,0))</f>
        <v xml:space="preserve">BLE DUR </v>
      </c>
      <c r="C271" s="105" t="s">
        <v>144</v>
      </c>
      <c r="D271" s="106">
        <v>41396</v>
      </c>
      <c r="E271" s="105" t="s">
        <v>35</v>
      </c>
      <c r="F271" s="105" t="s">
        <v>69</v>
      </c>
      <c r="G271" s="105" t="str">
        <f>VLOOKUP(E271,ACHATS!$C:$D,2,0)</f>
        <v>FONGICIDES</v>
      </c>
      <c r="H271" s="107">
        <v>1</v>
      </c>
      <c r="I271" s="107">
        <f>VLOOKUP(C271,PARCELLAIRE!$D$2:$F$29,3,0)</f>
        <v>5.27</v>
      </c>
      <c r="J271" s="107">
        <f t="shared" si="16"/>
        <v>5.27</v>
      </c>
      <c r="K271" s="107">
        <f>VLOOKUP(E271,'COUT MOYEN'!$B$1:$E$71,4,0)</f>
        <v>14.4</v>
      </c>
      <c r="L271" s="108">
        <f t="shared" si="17"/>
        <v>75.887999999999991</v>
      </c>
      <c r="M271" s="108"/>
      <c r="N271" s="63" t="str">
        <f t="shared" si="18"/>
        <v>Bousquet Château</v>
      </c>
      <c r="O271" s="172">
        <f>SUMPRODUCT(--(PARCELLAIRE!H$2:H$58=UTILISATIONS!N271))</f>
        <v>0</v>
      </c>
    </row>
    <row r="272" spans="1:15">
      <c r="A272" s="105">
        <v>2013</v>
      </c>
      <c r="B272" s="105" t="str">
        <f>INDEX(PARCELLAIRE!$B$2:$B$29,MATCH(UTILISATIONS!C272,PARCELLAIRE!$D$2:$D$29,0))</f>
        <v xml:space="preserve">BLE DUR </v>
      </c>
      <c r="C272" s="105" t="s">
        <v>147</v>
      </c>
      <c r="D272" s="106">
        <v>41396</v>
      </c>
      <c r="E272" s="105" t="s">
        <v>35</v>
      </c>
      <c r="F272" s="105" t="s">
        <v>69</v>
      </c>
      <c r="G272" s="105" t="str">
        <f>VLOOKUP(E272,ACHATS!$C:$D,2,0)</f>
        <v>FONGICIDES</v>
      </c>
      <c r="H272" s="107">
        <v>1</v>
      </c>
      <c r="I272" s="107">
        <f>VLOOKUP(C272,PARCELLAIRE!$D$2:$F$29,3,0)</f>
        <v>5.67</v>
      </c>
      <c r="J272" s="107">
        <f t="shared" si="16"/>
        <v>5.67</v>
      </c>
      <c r="K272" s="107">
        <f>VLOOKUP(E272,'COUT MOYEN'!$B$1:$E$71,4,0)</f>
        <v>14.4</v>
      </c>
      <c r="L272" s="108">
        <f t="shared" si="17"/>
        <v>81.647999999999996</v>
      </c>
      <c r="M272" s="108"/>
      <c r="N272" s="63" t="str">
        <f t="shared" si="18"/>
        <v>Bousquet Route</v>
      </c>
      <c r="O272" s="172">
        <f>SUMPRODUCT(--(PARCELLAIRE!H$2:H$58=UTILISATIONS!N272))</f>
        <v>0</v>
      </c>
    </row>
    <row r="273" spans="1:15">
      <c r="A273" s="105">
        <v>2013</v>
      </c>
      <c r="B273" s="105" t="str">
        <f>INDEX(PARCELLAIRE!$B$2:$B$29,MATCH(UTILISATIONS!C273,PARCELLAIRE!$D$2:$D$29,0))</f>
        <v xml:space="preserve">BLE DUR </v>
      </c>
      <c r="C273" s="105" t="s">
        <v>151</v>
      </c>
      <c r="D273" s="106">
        <v>41396</v>
      </c>
      <c r="E273" s="105" t="s">
        <v>35</v>
      </c>
      <c r="F273" s="105" t="s">
        <v>69</v>
      </c>
      <c r="G273" s="105" t="str">
        <f>VLOOKUP(E273,ACHATS!$C:$D,2,0)</f>
        <v>FONGICIDES</v>
      </c>
      <c r="H273" s="107">
        <v>1</v>
      </c>
      <c r="I273" s="107">
        <f>VLOOKUP(C273,PARCELLAIRE!$D$2:$F$29,3,0)</f>
        <v>7.58</v>
      </c>
      <c r="J273" s="107">
        <f t="shared" si="16"/>
        <v>7.58</v>
      </c>
      <c r="K273" s="107">
        <f>VLOOKUP(E273,'COUT MOYEN'!$B$1:$E$71,4,0)</f>
        <v>14.4</v>
      </c>
      <c r="L273" s="108">
        <f t="shared" si="17"/>
        <v>109.152</v>
      </c>
      <c r="M273" s="108"/>
      <c r="N273" s="63" t="str">
        <f t="shared" si="18"/>
        <v>Escarcelou</v>
      </c>
      <c r="O273" s="172">
        <f>SUMPRODUCT(--(PARCELLAIRE!H$2:H$58=UTILISATIONS!N273))</f>
        <v>0</v>
      </c>
    </row>
    <row r="274" spans="1:15">
      <c r="A274" s="105">
        <v>2013</v>
      </c>
      <c r="B274" s="105" t="str">
        <f>INDEX(PARCELLAIRE!$B$2:$B$29,MATCH(UTILISATIONS!C274,PARCELLAIRE!$D$2:$D$29,0))</f>
        <v xml:space="preserve">BLE DUR </v>
      </c>
      <c r="C274" s="105" t="s">
        <v>176</v>
      </c>
      <c r="D274" s="106">
        <v>41396</v>
      </c>
      <c r="E274" s="105" t="s">
        <v>35</v>
      </c>
      <c r="F274" s="105" t="s">
        <v>69</v>
      </c>
      <c r="G274" s="105" t="str">
        <f>VLOOKUP(E274,ACHATS!$C:$D,2,0)</f>
        <v>FONGICIDES</v>
      </c>
      <c r="H274" s="107">
        <v>1</v>
      </c>
      <c r="I274" s="107">
        <f>VLOOKUP(C274,PARCELLAIRE!$D$2:$F$29,3,0)</f>
        <v>11.9</v>
      </c>
      <c r="J274" s="107">
        <f t="shared" si="16"/>
        <v>11.9</v>
      </c>
      <c r="K274" s="107">
        <f>VLOOKUP(E274,'COUT MOYEN'!$B$1:$E$71,4,0)</f>
        <v>14.4</v>
      </c>
      <c r="L274" s="108">
        <f t="shared" si="17"/>
        <v>171.36</v>
      </c>
      <c r="M274" s="108"/>
      <c r="N274" s="63" t="str">
        <f t="shared" si="18"/>
        <v>Labaou Devant</v>
      </c>
      <c r="O274" s="172">
        <f>SUMPRODUCT(--(PARCELLAIRE!H$2:H$58=UTILISATIONS!N274))</f>
        <v>0</v>
      </c>
    </row>
    <row r="275" spans="1:15">
      <c r="A275" s="105">
        <v>2013</v>
      </c>
      <c r="B275" s="105" t="str">
        <f>INDEX(PARCELLAIRE!$B$2:$B$29,MATCH(UTILISATIONS!C275,PARCELLAIRE!$D$2:$D$29,0))</f>
        <v xml:space="preserve">BLE DUR </v>
      </c>
      <c r="C275" s="105" t="s">
        <v>153</v>
      </c>
      <c r="D275" s="106">
        <v>41396</v>
      </c>
      <c r="E275" s="105" t="s">
        <v>35</v>
      </c>
      <c r="F275" s="105" t="s">
        <v>69</v>
      </c>
      <c r="G275" s="105" t="str">
        <f>VLOOKUP(E275,ACHATS!$C:$D,2,0)</f>
        <v>FONGICIDES</v>
      </c>
      <c r="H275" s="107">
        <v>1</v>
      </c>
      <c r="I275" s="107">
        <f>VLOOKUP(C275,PARCELLAIRE!$D$2:$F$29,3,0)</f>
        <v>7.5</v>
      </c>
      <c r="J275" s="107">
        <f t="shared" si="16"/>
        <v>7.5</v>
      </c>
      <c r="K275" s="107">
        <f>VLOOKUP(E275,'COUT MOYEN'!$B$1:$E$71,4,0)</f>
        <v>14.4</v>
      </c>
      <c r="L275" s="108">
        <f t="shared" si="17"/>
        <v>108</v>
      </c>
      <c r="M275" s="108"/>
      <c r="N275" s="63" t="str">
        <f t="shared" si="18"/>
        <v>Escarcelou Pte</v>
      </c>
      <c r="O275" s="172">
        <f>SUMPRODUCT(--(PARCELLAIRE!H$2:H$58=UTILISATIONS!N275))</f>
        <v>0</v>
      </c>
    </row>
    <row r="276" spans="1:15">
      <c r="A276" s="105">
        <v>2013</v>
      </c>
      <c r="B276" s="105" t="str">
        <f>INDEX(PARCELLAIRE!$B$2:$B$29,MATCH(UTILISATIONS!C276,PARCELLAIRE!$D$2:$D$29,0))</f>
        <v xml:space="preserve">BLE DUR </v>
      </c>
      <c r="C276" s="105" t="s">
        <v>161</v>
      </c>
      <c r="D276" s="106">
        <v>41396</v>
      </c>
      <c r="E276" s="105" t="s">
        <v>36</v>
      </c>
      <c r="F276" s="105" t="s">
        <v>69</v>
      </c>
      <c r="G276" s="105" t="str">
        <f>VLOOKUP(E276,ACHATS!$C:$D,2,0)</f>
        <v>FONGICIDES</v>
      </c>
      <c r="H276" s="107">
        <v>0.6</v>
      </c>
      <c r="I276" s="107">
        <f>VLOOKUP(C276,PARCELLAIRE!$D$2:$F$29,3,0)</f>
        <v>5.07</v>
      </c>
      <c r="J276" s="107">
        <f t="shared" si="16"/>
        <v>3.0420000000000003</v>
      </c>
      <c r="K276" s="107">
        <f>VLOOKUP(E276,'COUT MOYEN'!$B$1:$E$71,4,0)</f>
        <v>59</v>
      </c>
      <c r="L276" s="108">
        <f t="shared" si="17"/>
        <v>179.47800000000001</v>
      </c>
      <c r="M276" s="108"/>
      <c r="N276" s="63" t="str">
        <f t="shared" si="18"/>
        <v>Laclos</v>
      </c>
      <c r="O276" s="172">
        <f>SUMPRODUCT(--(PARCELLAIRE!H$2:H$58=UTILISATIONS!N276))</f>
        <v>0</v>
      </c>
    </row>
    <row r="277" spans="1:15">
      <c r="A277" s="105">
        <v>2013</v>
      </c>
      <c r="B277" s="105" t="str">
        <f>INDEX(PARCELLAIRE!$B$2:$B$29,MATCH(UTILISATIONS!C277,PARCELLAIRE!$D$2:$D$29,0))</f>
        <v xml:space="preserve">BLE DUR </v>
      </c>
      <c r="C277" s="105" t="s">
        <v>162</v>
      </c>
      <c r="D277" s="106">
        <v>41396</v>
      </c>
      <c r="E277" s="105" t="s">
        <v>36</v>
      </c>
      <c r="F277" s="105" t="s">
        <v>69</v>
      </c>
      <c r="G277" s="105" t="str">
        <f>VLOOKUP(E277,ACHATS!$C:$D,2,0)</f>
        <v>FONGICIDES</v>
      </c>
      <c r="H277" s="107">
        <v>0.6</v>
      </c>
      <c r="I277" s="107">
        <f>VLOOKUP(C277,PARCELLAIRE!$D$2:$F$29,3,0)</f>
        <v>2.67</v>
      </c>
      <c r="J277" s="107">
        <f t="shared" si="16"/>
        <v>1.6019999999999999</v>
      </c>
      <c r="K277" s="107">
        <f>VLOOKUP(E277,'COUT MOYEN'!$B$1:$E$71,4,0)</f>
        <v>59</v>
      </c>
      <c r="L277" s="108">
        <f t="shared" si="17"/>
        <v>94.517999999999986</v>
      </c>
      <c r="M277" s="108"/>
      <c r="N277" s="63" t="str">
        <f t="shared" si="18"/>
        <v>Lescandes</v>
      </c>
      <c r="O277" s="172">
        <f>SUMPRODUCT(--(PARCELLAIRE!H$2:H$58=UTILISATIONS!N277))</f>
        <v>0</v>
      </c>
    </row>
    <row r="278" spans="1:15">
      <c r="A278" s="105">
        <v>2013</v>
      </c>
      <c r="B278" s="105" t="str">
        <f>INDEX(PARCELLAIRE!$B$2:$B$29,MATCH(UTILISATIONS!C278,PARCELLAIRE!$D$2:$D$29,0))</f>
        <v xml:space="preserve">BLE DUR </v>
      </c>
      <c r="C278" s="105" t="s">
        <v>172</v>
      </c>
      <c r="D278" s="106">
        <v>41396</v>
      </c>
      <c r="E278" s="105" t="s">
        <v>36</v>
      </c>
      <c r="F278" s="105" t="s">
        <v>69</v>
      </c>
      <c r="G278" s="105" t="str">
        <f>VLOOKUP(E278,ACHATS!$C:$D,2,0)</f>
        <v>FONGICIDES</v>
      </c>
      <c r="H278" s="107">
        <v>0.6</v>
      </c>
      <c r="I278" s="107">
        <f>VLOOKUP(C278,PARCELLAIRE!$D$2:$F$29,3,0)</f>
        <v>16.440000000000001</v>
      </c>
      <c r="J278" s="107">
        <f t="shared" si="16"/>
        <v>9.8640000000000008</v>
      </c>
      <c r="K278" s="107">
        <f>VLOOKUP(E278,'COUT MOYEN'!$B$1:$E$71,4,0)</f>
        <v>59</v>
      </c>
      <c r="L278" s="108">
        <f t="shared" si="17"/>
        <v>581.976</v>
      </c>
      <c r="M278" s="108"/>
      <c r="N278" s="63" t="str">
        <f t="shared" si="18"/>
        <v>Lescandes Côteau</v>
      </c>
      <c r="O278" s="172">
        <f>SUMPRODUCT(--(PARCELLAIRE!H$2:H$58=UTILISATIONS!N278))</f>
        <v>0</v>
      </c>
    </row>
    <row r="279" spans="1:15">
      <c r="A279" s="105">
        <v>2013</v>
      </c>
      <c r="B279" s="105" t="str">
        <f>INDEX(PARCELLAIRE!$B$2:$B$29,MATCH(UTILISATIONS!C279,PARCELLAIRE!$D$2:$D$29,0))</f>
        <v xml:space="preserve">BLE DUR </v>
      </c>
      <c r="C279" s="105" t="s">
        <v>170</v>
      </c>
      <c r="D279" s="106">
        <v>41396</v>
      </c>
      <c r="E279" s="105" t="s">
        <v>36</v>
      </c>
      <c r="F279" s="105" t="s">
        <v>69</v>
      </c>
      <c r="G279" s="105" t="str">
        <f>VLOOKUP(E279,ACHATS!$C:$D,2,0)</f>
        <v>FONGICIDES</v>
      </c>
      <c r="H279" s="107">
        <v>0.6</v>
      </c>
      <c r="I279" s="107">
        <f>VLOOKUP(C279,PARCELLAIRE!$D$2:$F$29,3,0)</f>
        <v>1.26</v>
      </c>
      <c r="J279" s="107">
        <f t="shared" si="16"/>
        <v>0.75600000000000001</v>
      </c>
      <c r="K279" s="107">
        <f>VLOOKUP(E279,'COUT MOYEN'!$B$1:$E$71,4,0)</f>
        <v>59</v>
      </c>
      <c r="L279" s="108">
        <f t="shared" si="17"/>
        <v>44.603999999999999</v>
      </c>
      <c r="M279" s="108"/>
      <c r="N279" s="63" t="str">
        <f t="shared" si="18"/>
        <v>Seillonne</v>
      </c>
      <c r="O279" s="172">
        <f>SUMPRODUCT(--(PARCELLAIRE!H$2:H$58=UTILISATIONS!N279))</f>
        <v>0</v>
      </c>
    </row>
    <row r="280" spans="1:15">
      <c r="A280" s="110">
        <v>2013</v>
      </c>
      <c r="B280" s="105" t="str">
        <f>INDEX(PARCELLAIRE!$B$2:$B$29,MATCH(UTILISATIONS!C280,PARCELLAIRE!$D$2:$D$29,0))</f>
        <v xml:space="preserve">BLE DUR </v>
      </c>
      <c r="C280" s="105" t="s">
        <v>144</v>
      </c>
      <c r="D280" s="106">
        <v>41400</v>
      </c>
      <c r="E280" s="105" t="s">
        <v>30</v>
      </c>
      <c r="F280" s="110" t="s">
        <v>69</v>
      </c>
      <c r="G280" s="105" t="str">
        <f>VLOOKUP(E280,ACHATS!$C:$D,2,0)</f>
        <v>DIVERS</v>
      </c>
      <c r="H280" s="107">
        <v>3</v>
      </c>
      <c r="I280" s="107">
        <f>VLOOKUP(C280,PARCELLAIRE!$D$2:$F$29,3,0)</f>
        <v>5.27</v>
      </c>
      <c r="J280" s="107">
        <f t="shared" si="16"/>
        <v>15.809999999999999</v>
      </c>
      <c r="K280" s="107">
        <f>VLOOKUP(E280,'COUT MOYEN'!$B$1:$E$71,4,0)</f>
        <v>12.3</v>
      </c>
      <c r="L280" s="108">
        <f t="shared" si="17"/>
        <v>194.46299999999999</v>
      </c>
      <c r="M280" s="108"/>
      <c r="N280" s="63" t="str">
        <f t="shared" si="18"/>
        <v>Bousquet Château</v>
      </c>
      <c r="O280" s="172">
        <f>SUMPRODUCT(--(PARCELLAIRE!H$2:H$58=UTILISATIONS!N280))</f>
        <v>0</v>
      </c>
    </row>
    <row r="281" spans="1:15">
      <c r="A281" s="110">
        <v>2013</v>
      </c>
      <c r="B281" s="105" t="str">
        <f>INDEX(PARCELLAIRE!$B$2:$B$29,MATCH(UTILISATIONS!C281,PARCELLAIRE!$D$2:$D$29,0))</f>
        <v>BLE TENDRE</v>
      </c>
      <c r="C281" s="105" t="s">
        <v>160</v>
      </c>
      <c r="D281" s="106">
        <v>41400</v>
      </c>
      <c r="E281" s="105" t="s">
        <v>30</v>
      </c>
      <c r="F281" s="110" t="s">
        <v>69</v>
      </c>
      <c r="G281" s="105" t="str">
        <f>VLOOKUP(E281,ACHATS!$C:$D,2,0)</f>
        <v>DIVERS</v>
      </c>
      <c r="H281" s="107">
        <v>3</v>
      </c>
      <c r="I281" s="107">
        <f>VLOOKUP(C281,PARCELLAIRE!$D$2:$F$29,3,0)</f>
        <v>17.55</v>
      </c>
      <c r="J281" s="107">
        <f t="shared" si="16"/>
        <v>52.650000000000006</v>
      </c>
      <c r="K281" s="107">
        <f>VLOOKUP(E281,'COUT MOYEN'!$B$1:$E$71,4,0)</f>
        <v>12.3</v>
      </c>
      <c r="L281" s="108">
        <f t="shared" si="17"/>
        <v>647.59500000000014</v>
      </c>
      <c r="M281" s="108"/>
      <c r="N281" s="63" t="str">
        <f t="shared" si="18"/>
        <v>Labaou Plaine</v>
      </c>
      <c r="O281" s="172">
        <f>SUMPRODUCT(--(PARCELLAIRE!H$2:H$58=UTILISATIONS!N281))</f>
        <v>1</v>
      </c>
    </row>
    <row r="282" spans="1:15">
      <c r="A282" s="105">
        <v>2013</v>
      </c>
      <c r="B282" s="105" t="str">
        <f>INDEX(PARCELLAIRE!$B$2:$B$29,MATCH(UTILISATIONS!C282,PARCELLAIRE!$D$2:$D$29,0))</f>
        <v xml:space="preserve">SOJA </v>
      </c>
      <c r="C282" s="105" t="s">
        <v>173</v>
      </c>
      <c r="D282" s="106">
        <v>41407</v>
      </c>
      <c r="E282" s="105" t="s">
        <v>16</v>
      </c>
      <c r="F282" s="105" t="s">
        <v>69</v>
      </c>
      <c r="G282" s="105" t="str">
        <f>VLOOKUP(E282,ACHATS!$C:$D,2,0)</f>
        <v>DESHERBANT</v>
      </c>
      <c r="H282" s="107">
        <v>1.5</v>
      </c>
      <c r="I282" s="107">
        <f>VLOOKUP(C282,PARCELLAIRE!$D$2:$F$29,3,0)</f>
        <v>8.58</v>
      </c>
      <c r="J282" s="107">
        <f t="shared" si="16"/>
        <v>12.870000000000001</v>
      </c>
      <c r="K282" s="107">
        <f>VLOOKUP(E282,'COUT MOYEN'!$B$1:$E$71,4,0)</f>
        <v>4.9381521739130436</v>
      </c>
      <c r="L282" s="108">
        <f t="shared" si="17"/>
        <v>63.554018478260879</v>
      </c>
      <c r="M282" s="108"/>
      <c r="N282" s="63" t="str">
        <f t="shared" si="18"/>
        <v>Engleyse Route</v>
      </c>
      <c r="O282" s="172">
        <f>SUMPRODUCT(--(PARCELLAIRE!H$2:H$58=UTILISATIONS!N282))</f>
        <v>0</v>
      </c>
    </row>
    <row r="283" spans="1:15">
      <c r="A283" s="105">
        <v>2013</v>
      </c>
      <c r="B283" s="105" t="str">
        <f>INDEX(PARCELLAIRE!$B$2:$B$29,MATCH(UTILISATIONS!C283,PARCELLAIRE!$D$2:$D$29,0))</f>
        <v>SORGHO</v>
      </c>
      <c r="C283" s="105" t="s">
        <v>149</v>
      </c>
      <c r="D283" s="106">
        <v>41407</v>
      </c>
      <c r="E283" s="105" t="s">
        <v>16</v>
      </c>
      <c r="F283" s="105" t="s">
        <v>69</v>
      </c>
      <c r="G283" s="105" t="str">
        <f>VLOOKUP(E283,ACHATS!$C:$D,2,0)</f>
        <v>DESHERBANT</v>
      </c>
      <c r="H283" s="107">
        <v>3</v>
      </c>
      <c r="I283" s="107">
        <f>VLOOKUP(C283,PARCELLAIRE!$D$2:$F$29,3,0)</f>
        <v>10.93</v>
      </c>
      <c r="J283" s="107">
        <f t="shared" si="16"/>
        <v>32.79</v>
      </c>
      <c r="K283" s="107">
        <f>VLOOKUP(E283,'COUT MOYEN'!$B$1:$E$71,4,0)</f>
        <v>4.9381521739130436</v>
      </c>
      <c r="L283" s="108">
        <f t="shared" si="17"/>
        <v>161.92200978260868</v>
      </c>
      <c r="M283" s="108"/>
      <c r="N283" s="63" t="str">
        <f t="shared" si="18"/>
        <v>Engleyse métairie</v>
      </c>
      <c r="O283" s="172">
        <f>SUMPRODUCT(--(PARCELLAIRE!H$2:H$58=UTILISATIONS!N283))</f>
        <v>0</v>
      </c>
    </row>
    <row r="284" spans="1:15">
      <c r="A284" s="110">
        <v>2013</v>
      </c>
      <c r="B284" s="105" t="str">
        <f>INDEX(PARCELLAIRE!$B$2:$B$29,MATCH(UTILISATIONS!C284,PARCELLAIRE!$D$2:$D$29,0))</f>
        <v xml:space="preserve">SOJA </v>
      </c>
      <c r="C284" s="110" t="s">
        <v>173</v>
      </c>
      <c r="D284" s="109">
        <v>41407</v>
      </c>
      <c r="E284" s="110" t="s">
        <v>25</v>
      </c>
      <c r="F284" s="110" t="s">
        <v>69</v>
      </c>
      <c r="G284" s="110" t="s">
        <v>24</v>
      </c>
      <c r="H284" s="107">
        <v>0.2</v>
      </c>
      <c r="I284" s="107">
        <f>VLOOKUP(C284,PARCELLAIRE!$D$2:$F$29,3,0)</f>
        <v>8.58</v>
      </c>
      <c r="J284" s="107">
        <f t="shared" si="16"/>
        <v>1.7160000000000002</v>
      </c>
      <c r="K284" s="107">
        <f>VLOOKUP(E284,'COUT MOYEN'!$B$1:$E$71,4,0)</f>
        <v>11.01</v>
      </c>
      <c r="L284" s="108">
        <f t="shared" si="17"/>
        <v>18.893160000000002</v>
      </c>
      <c r="M284" s="112"/>
      <c r="N284" s="63" t="str">
        <f t="shared" si="18"/>
        <v>Engleyse Route</v>
      </c>
      <c r="O284" s="172">
        <f>SUMPRODUCT(--(PARCELLAIRE!H$2:H$58=UTILISATIONS!N284))</f>
        <v>0</v>
      </c>
    </row>
    <row r="285" spans="1:15">
      <c r="A285" s="110">
        <v>2013</v>
      </c>
      <c r="B285" s="105" t="str">
        <f>INDEX(PARCELLAIRE!$B$2:$B$29,MATCH(UTILISATIONS!C285,PARCELLAIRE!$D$2:$D$29,0))</f>
        <v>SORGHO</v>
      </c>
      <c r="C285" s="110" t="s">
        <v>149</v>
      </c>
      <c r="D285" s="109">
        <v>41407</v>
      </c>
      <c r="E285" s="110" t="s">
        <v>25</v>
      </c>
      <c r="F285" s="110" t="s">
        <v>69</v>
      </c>
      <c r="G285" s="110" t="s">
        <v>24</v>
      </c>
      <c r="H285" s="107">
        <v>0.2</v>
      </c>
      <c r="I285" s="107">
        <f>VLOOKUP(C285,PARCELLAIRE!$D$2:$F$29,3,0)</f>
        <v>10.93</v>
      </c>
      <c r="J285" s="107">
        <f t="shared" si="16"/>
        <v>2.1859999999999999</v>
      </c>
      <c r="K285" s="107">
        <f>VLOOKUP(E285,'COUT MOYEN'!$B$1:$E$71,4,0)</f>
        <v>11.01</v>
      </c>
      <c r="L285" s="108">
        <f t="shared" si="17"/>
        <v>24.06786</v>
      </c>
      <c r="M285" s="112"/>
      <c r="N285" s="63" t="str">
        <f t="shared" si="18"/>
        <v>Engleyse métairie</v>
      </c>
      <c r="O285" s="172">
        <f>SUMPRODUCT(--(PARCELLAIRE!H$2:H$58=UTILISATIONS!N285))</f>
        <v>0</v>
      </c>
    </row>
    <row r="286" spans="1:15">
      <c r="A286" s="105">
        <v>2013</v>
      </c>
      <c r="B286" s="105" t="str">
        <f>INDEX(PARCELLAIRE!$B$2:$B$29,MATCH(UTILISATIONS!C286,PARCELLAIRE!$D$2:$D$29,0))</f>
        <v>TOURNESOL</v>
      </c>
      <c r="C286" s="105" t="s">
        <v>157</v>
      </c>
      <c r="D286" s="106">
        <v>41407</v>
      </c>
      <c r="E286" s="105" t="s">
        <v>125</v>
      </c>
      <c r="F286" s="105" t="s">
        <v>68</v>
      </c>
      <c r="G286" s="105" t="str">
        <f>VLOOKUP(E286,ACHATS!$C:$D,2,0)</f>
        <v>SEMENCES</v>
      </c>
      <c r="H286" s="107">
        <v>0.38</v>
      </c>
      <c r="I286" s="107">
        <f>VLOOKUP(C286,PARCELLAIRE!$D$2:$F$29,3,0)</f>
        <v>5.26</v>
      </c>
      <c r="J286" s="107">
        <f t="shared" si="16"/>
        <v>1.9987999999999999</v>
      </c>
      <c r="K286" s="107">
        <f>VLOOKUP(E286,'COUT MOYEN'!$B$1:$E$71,4,0)</f>
        <v>188</v>
      </c>
      <c r="L286" s="108">
        <f t="shared" si="17"/>
        <v>375.77439999999996</v>
      </c>
      <c r="M286" s="108"/>
      <c r="N286" s="63" t="str">
        <f t="shared" si="18"/>
        <v>L'Aule métairie</v>
      </c>
      <c r="O286" s="172">
        <f>SUMPRODUCT(--(PARCELLAIRE!H$2:H$58=UTILISATIONS!N286))</f>
        <v>1</v>
      </c>
    </row>
    <row r="287" spans="1:15">
      <c r="A287" s="105">
        <v>2013</v>
      </c>
      <c r="B287" s="105" t="str">
        <f>INDEX(PARCELLAIRE!$B$2:$B$29,MATCH(UTILISATIONS!C287,PARCELLAIRE!$D$2:$D$29,0))</f>
        <v>TOURNESOL</v>
      </c>
      <c r="C287" s="105" t="s">
        <v>158</v>
      </c>
      <c r="D287" s="106">
        <v>41407</v>
      </c>
      <c r="E287" s="105" t="s">
        <v>125</v>
      </c>
      <c r="F287" s="105" t="s">
        <v>68</v>
      </c>
      <c r="G287" s="105" t="str">
        <f>VLOOKUP(E287,ACHATS!$C:$D,2,0)</f>
        <v>SEMENCES</v>
      </c>
      <c r="H287" s="107">
        <v>0.38</v>
      </c>
      <c r="I287" s="107">
        <f>VLOOKUP(C287,PARCELLAIRE!$D$2:$F$29,3,0)</f>
        <v>15.64</v>
      </c>
      <c r="J287" s="107">
        <f t="shared" si="16"/>
        <v>5.9432</v>
      </c>
      <c r="K287" s="107">
        <f>VLOOKUP(E287,'COUT MOYEN'!$B$1:$E$71,4,0)</f>
        <v>188</v>
      </c>
      <c r="L287" s="108">
        <f t="shared" si="17"/>
        <v>1117.3216</v>
      </c>
      <c r="M287" s="108"/>
      <c r="N287" s="63" t="str">
        <f t="shared" si="18"/>
        <v>L'Aule Plaine</v>
      </c>
      <c r="O287" s="172">
        <f>SUMPRODUCT(--(PARCELLAIRE!H$2:H$58=UTILISATIONS!N287))</f>
        <v>1</v>
      </c>
    </row>
    <row r="288" spans="1:15">
      <c r="A288" s="105">
        <v>2013</v>
      </c>
      <c r="B288" s="105" t="str">
        <f>INDEX(PARCELLAIRE!$B$2:$B$29,MATCH(UTILISATIONS!C288,PARCELLAIRE!$D$2:$D$29,0))</f>
        <v>TOURNESOL</v>
      </c>
      <c r="C288" s="105" t="s">
        <v>158</v>
      </c>
      <c r="D288" s="106">
        <v>41408</v>
      </c>
      <c r="E288" s="105" t="s">
        <v>85</v>
      </c>
      <c r="F288" s="105" t="s">
        <v>69</v>
      </c>
      <c r="G288" s="105" t="str">
        <f>VLOOKUP(E288,ACHATS!$C:$D,2,0)</f>
        <v>DESHERBANT</v>
      </c>
      <c r="H288" s="107">
        <v>2.87</v>
      </c>
      <c r="I288" s="107">
        <f>VLOOKUP(C288,PARCELLAIRE!$D$2:$F$29,3,0)</f>
        <v>15.64</v>
      </c>
      <c r="J288" s="107">
        <f t="shared" si="16"/>
        <v>44.886800000000001</v>
      </c>
      <c r="K288" s="107">
        <f>VLOOKUP(E288,'COUT MOYEN'!$B$1:$E$71,4,0)</f>
        <v>10.66</v>
      </c>
      <c r="L288" s="108">
        <f t="shared" si="17"/>
        <v>478.49328800000001</v>
      </c>
      <c r="M288" s="108"/>
      <c r="N288" s="63" t="str">
        <f t="shared" si="18"/>
        <v>L'Aule Plaine</v>
      </c>
      <c r="O288" s="172">
        <f>SUMPRODUCT(--(PARCELLAIRE!H$2:H$58=UTILISATIONS!N288))</f>
        <v>1</v>
      </c>
    </row>
    <row r="289" spans="1:15">
      <c r="A289" s="105">
        <v>2013</v>
      </c>
      <c r="B289" s="105" t="str">
        <f>INDEX(PARCELLAIRE!$B$2:$B$29,MATCH(UTILISATIONS!C289,PARCELLAIRE!$D$2:$D$29,0))</f>
        <v>TOURNESOL</v>
      </c>
      <c r="C289" s="105" t="s">
        <v>157</v>
      </c>
      <c r="D289" s="106">
        <v>41408</v>
      </c>
      <c r="E289" s="105" t="s">
        <v>85</v>
      </c>
      <c r="F289" s="105" t="s">
        <v>69</v>
      </c>
      <c r="G289" s="105" t="str">
        <f>VLOOKUP(E289,ACHATS!$C:$D,2,0)</f>
        <v>DESHERBANT</v>
      </c>
      <c r="H289" s="107">
        <v>2.87</v>
      </c>
      <c r="I289" s="107">
        <f>VLOOKUP(C289,PARCELLAIRE!$D$2:$F$29,3,0)</f>
        <v>5.26</v>
      </c>
      <c r="J289" s="107">
        <f t="shared" si="16"/>
        <v>15.0962</v>
      </c>
      <c r="K289" s="107">
        <f>VLOOKUP(E289,'COUT MOYEN'!$B$1:$E$71,4,0)</f>
        <v>10.66</v>
      </c>
      <c r="L289" s="108">
        <f t="shared" si="17"/>
        <v>160.92549199999999</v>
      </c>
      <c r="M289" s="108"/>
      <c r="N289" s="63" t="str">
        <f t="shared" si="18"/>
        <v>L'Aule métairie</v>
      </c>
      <c r="O289" s="172">
        <f>SUMPRODUCT(--(PARCELLAIRE!H$2:H$58=UTILISATIONS!N289))</f>
        <v>1</v>
      </c>
    </row>
    <row r="290" spans="1:15">
      <c r="A290" s="105">
        <v>2013</v>
      </c>
      <c r="B290" s="105" t="str">
        <f>INDEX(PARCELLAIRE!$B$2:$B$29,MATCH(UTILISATIONS!C290,PARCELLAIRE!$D$2:$D$29,0))</f>
        <v>BLE TENDRE</v>
      </c>
      <c r="C290" s="105" t="s">
        <v>160</v>
      </c>
      <c r="D290" s="106">
        <v>41421</v>
      </c>
      <c r="E290" s="105" t="s">
        <v>32</v>
      </c>
      <c r="F290" s="105" t="s">
        <v>69</v>
      </c>
      <c r="G290" s="105" t="str">
        <f>VLOOKUP(E290,ACHATS!$C:$D,2,0)</f>
        <v>FONGICIDES</v>
      </c>
      <c r="H290" s="107">
        <v>0.57040000000000002</v>
      </c>
      <c r="I290" s="107">
        <f>VLOOKUP(C290,PARCELLAIRE!$D$2:$F$29,3,0)</f>
        <v>17.55</v>
      </c>
      <c r="J290" s="107">
        <f t="shared" si="16"/>
        <v>10.010520000000001</v>
      </c>
      <c r="K290" s="107">
        <f>VLOOKUP(E290,'COUT MOYEN'!$B$1:$E$71,4,0)</f>
        <v>39.669999999999995</v>
      </c>
      <c r="L290" s="108">
        <f t="shared" si="17"/>
        <v>397.11732840000002</v>
      </c>
      <c r="M290" s="108"/>
      <c r="N290" s="63" t="str">
        <f t="shared" si="18"/>
        <v>Labaou Plaine</v>
      </c>
      <c r="O290" s="172">
        <f>SUMPRODUCT(--(PARCELLAIRE!H$2:H$58=UTILISATIONS!N290))</f>
        <v>1</v>
      </c>
    </row>
    <row r="291" spans="1:15">
      <c r="A291" s="105">
        <v>2013</v>
      </c>
      <c r="B291" s="105" t="str">
        <f>INDEX(PARCELLAIRE!$B$2:$B$29,MATCH(UTILISATIONS!C291,PARCELLAIRE!$D$2:$D$29,0))</f>
        <v xml:space="preserve">BLE DUR </v>
      </c>
      <c r="C291" s="105" t="s">
        <v>144</v>
      </c>
      <c r="D291" s="106">
        <v>41421</v>
      </c>
      <c r="E291" s="105" t="s">
        <v>32</v>
      </c>
      <c r="F291" s="105" t="s">
        <v>69</v>
      </c>
      <c r="G291" s="105" t="str">
        <f>VLOOKUP(E291,ACHATS!$C:$D,2,0)</f>
        <v>FONGICIDES</v>
      </c>
      <c r="H291" s="107">
        <v>1.1399999999999999</v>
      </c>
      <c r="I291" s="107">
        <f>VLOOKUP(C291,PARCELLAIRE!$D$2:$F$29,3,0)</f>
        <v>5.27</v>
      </c>
      <c r="J291" s="107">
        <f t="shared" si="16"/>
        <v>6.0077999999999987</v>
      </c>
      <c r="K291" s="107">
        <f>VLOOKUP(E291,'COUT MOYEN'!$B$1:$E$71,4,0)</f>
        <v>39.669999999999995</v>
      </c>
      <c r="L291" s="108">
        <f t="shared" si="17"/>
        <v>238.32942599999993</v>
      </c>
      <c r="M291" s="108"/>
      <c r="N291" s="63" t="str">
        <f t="shared" si="18"/>
        <v>Bousquet Château</v>
      </c>
      <c r="O291" s="172">
        <f>SUMPRODUCT(--(PARCELLAIRE!H$2:H$58=UTILISATIONS!N291))</f>
        <v>0</v>
      </c>
    </row>
    <row r="292" spans="1:15">
      <c r="A292" s="105">
        <v>2013</v>
      </c>
      <c r="B292" s="105" t="str">
        <f>INDEX(PARCELLAIRE!$B$2:$B$29,MATCH(UTILISATIONS!C292,PARCELLAIRE!$D$2:$D$29,0))</f>
        <v xml:space="preserve">BLE DUR </v>
      </c>
      <c r="C292" s="105" t="s">
        <v>174</v>
      </c>
      <c r="D292" s="106">
        <v>41421</v>
      </c>
      <c r="E292" s="105" t="s">
        <v>88</v>
      </c>
      <c r="F292" s="105" t="s">
        <v>69</v>
      </c>
      <c r="G292" s="105" t="str">
        <f>VLOOKUP(E292,ACHATS!$C:$D,2,0)</f>
        <v>FONGICIDES</v>
      </c>
      <c r="H292" s="107">
        <v>0.8</v>
      </c>
      <c r="I292" s="107">
        <f>VLOOKUP(C292,PARCELLAIRE!$D$2:$F$29,3,0)</f>
        <v>12.49</v>
      </c>
      <c r="J292" s="107">
        <f t="shared" si="16"/>
        <v>9.9920000000000009</v>
      </c>
      <c r="K292" s="107">
        <f>VLOOKUP(E292,'COUT MOYEN'!$B$1:$E$71,4,0)</f>
        <v>54</v>
      </c>
      <c r="L292" s="108">
        <f t="shared" si="17"/>
        <v>539.5680000000001</v>
      </c>
      <c r="M292" s="108"/>
      <c r="N292" s="63" t="str">
        <f t="shared" si="18"/>
        <v>Engleyse Bousquet</v>
      </c>
      <c r="O292" s="172">
        <f>SUMPRODUCT(--(PARCELLAIRE!H$2:H$58=UTILISATIONS!N292))</f>
        <v>0</v>
      </c>
    </row>
    <row r="293" spans="1:15">
      <c r="A293" s="105">
        <v>2013</v>
      </c>
      <c r="B293" s="105" t="str">
        <f>INDEX(PARCELLAIRE!$B$2:$B$29,MATCH(UTILISATIONS!C293,PARCELLAIRE!$D$2:$D$29,0))</f>
        <v xml:space="preserve">BLE DUR </v>
      </c>
      <c r="C293" s="105" t="s">
        <v>147</v>
      </c>
      <c r="D293" s="106">
        <v>41421</v>
      </c>
      <c r="E293" s="105" t="s">
        <v>88</v>
      </c>
      <c r="F293" s="105" t="s">
        <v>69</v>
      </c>
      <c r="G293" s="105" t="str">
        <f>VLOOKUP(E293,ACHATS!$C:$D,2,0)</f>
        <v>FONGICIDES</v>
      </c>
      <c r="H293" s="107">
        <v>0.8</v>
      </c>
      <c r="I293" s="107">
        <f>VLOOKUP(C293,PARCELLAIRE!$D$2:$F$29,3,0)</f>
        <v>5.67</v>
      </c>
      <c r="J293" s="107">
        <f t="shared" si="16"/>
        <v>4.5360000000000005</v>
      </c>
      <c r="K293" s="107">
        <f>VLOOKUP(E293,'COUT MOYEN'!$B$1:$E$71,4,0)</f>
        <v>54</v>
      </c>
      <c r="L293" s="108">
        <f t="shared" si="17"/>
        <v>244.94400000000002</v>
      </c>
      <c r="M293" s="108"/>
      <c r="N293" s="63" t="str">
        <f t="shared" si="18"/>
        <v>Bousquet Route</v>
      </c>
      <c r="O293" s="172">
        <f>SUMPRODUCT(--(PARCELLAIRE!H$2:H$58=UTILISATIONS!N293))</f>
        <v>0</v>
      </c>
    </row>
    <row r="294" spans="1:15">
      <c r="A294" s="105">
        <v>2013</v>
      </c>
      <c r="B294" s="105" t="str">
        <f>INDEX(PARCELLAIRE!$B$2:$B$29,MATCH(UTILISATIONS!C294,PARCELLAIRE!$D$2:$D$29,0))</f>
        <v xml:space="preserve">BLE DUR </v>
      </c>
      <c r="C294" s="105" t="s">
        <v>151</v>
      </c>
      <c r="D294" s="106">
        <v>41421</v>
      </c>
      <c r="E294" s="105" t="s">
        <v>88</v>
      </c>
      <c r="F294" s="105" t="s">
        <v>69</v>
      </c>
      <c r="G294" s="105" t="str">
        <f>VLOOKUP(E294,ACHATS!$C:$D,2,0)</f>
        <v>FONGICIDES</v>
      </c>
      <c r="H294" s="107">
        <v>0.8</v>
      </c>
      <c r="I294" s="107">
        <f>VLOOKUP(C294,PARCELLAIRE!$D$2:$F$29,3,0)</f>
        <v>7.58</v>
      </c>
      <c r="J294" s="107">
        <f t="shared" si="16"/>
        <v>6.0640000000000001</v>
      </c>
      <c r="K294" s="107">
        <f>VLOOKUP(E294,'COUT MOYEN'!$B$1:$E$71,4,0)</f>
        <v>54</v>
      </c>
      <c r="L294" s="108">
        <f t="shared" si="17"/>
        <v>327.45600000000002</v>
      </c>
      <c r="M294" s="108"/>
      <c r="N294" s="63" t="str">
        <f t="shared" si="18"/>
        <v>Escarcelou</v>
      </c>
      <c r="O294" s="172">
        <f>SUMPRODUCT(--(PARCELLAIRE!H$2:H$58=UTILISATIONS!N294))</f>
        <v>0</v>
      </c>
    </row>
    <row r="295" spans="1:15">
      <c r="A295" s="105">
        <v>2013</v>
      </c>
      <c r="B295" s="105" t="str">
        <f>INDEX(PARCELLAIRE!$B$2:$B$29,MATCH(UTILISATIONS!C295,PARCELLAIRE!$D$2:$D$29,0))</f>
        <v xml:space="preserve">BLE DUR </v>
      </c>
      <c r="C295" s="105" t="s">
        <v>176</v>
      </c>
      <c r="D295" s="106">
        <v>41421</v>
      </c>
      <c r="E295" s="105" t="s">
        <v>88</v>
      </c>
      <c r="F295" s="105" t="s">
        <v>69</v>
      </c>
      <c r="G295" s="105" t="str">
        <f>VLOOKUP(E295,ACHATS!$C:$D,2,0)</f>
        <v>FONGICIDES</v>
      </c>
      <c r="H295" s="107">
        <v>0.8</v>
      </c>
      <c r="I295" s="107">
        <f>VLOOKUP(C295,PARCELLAIRE!$D$2:$F$29,3,0)</f>
        <v>11.9</v>
      </c>
      <c r="J295" s="107">
        <f t="shared" si="16"/>
        <v>9.5200000000000014</v>
      </c>
      <c r="K295" s="107">
        <f>VLOOKUP(E295,'COUT MOYEN'!$B$1:$E$71,4,0)</f>
        <v>54</v>
      </c>
      <c r="L295" s="108">
        <f t="shared" si="17"/>
        <v>514.08000000000004</v>
      </c>
      <c r="M295" s="108"/>
      <c r="N295" s="63" t="str">
        <f t="shared" si="18"/>
        <v>Labaou Devant</v>
      </c>
      <c r="O295" s="172">
        <f>SUMPRODUCT(--(PARCELLAIRE!H$2:H$58=UTILISATIONS!N295))</f>
        <v>0</v>
      </c>
    </row>
    <row r="296" spans="1:15">
      <c r="A296" s="105">
        <v>2013</v>
      </c>
      <c r="B296" s="105" t="str">
        <f>INDEX(PARCELLAIRE!$B$2:$B$29,MATCH(UTILISATIONS!C296,PARCELLAIRE!$D$2:$D$29,0))</f>
        <v xml:space="preserve">BLE DUR </v>
      </c>
      <c r="C296" s="105" t="s">
        <v>153</v>
      </c>
      <c r="D296" s="106">
        <v>41421</v>
      </c>
      <c r="E296" s="105" t="s">
        <v>88</v>
      </c>
      <c r="F296" s="105" t="s">
        <v>69</v>
      </c>
      <c r="G296" s="105" t="str">
        <f>VLOOKUP(E296,ACHATS!$C:$D,2,0)</f>
        <v>FONGICIDES</v>
      </c>
      <c r="H296" s="107">
        <v>0.8</v>
      </c>
      <c r="I296" s="107">
        <f>VLOOKUP(C296,PARCELLAIRE!$D$2:$F$29,3,0)</f>
        <v>7.5</v>
      </c>
      <c r="J296" s="107">
        <f t="shared" si="16"/>
        <v>6</v>
      </c>
      <c r="K296" s="107">
        <f>VLOOKUP(E296,'COUT MOYEN'!$B$1:$E$71,4,0)</f>
        <v>54</v>
      </c>
      <c r="L296" s="108">
        <f t="shared" si="17"/>
        <v>324</v>
      </c>
      <c r="M296" s="108"/>
      <c r="N296" s="63" t="str">
        <f t="shared" si="18"/>
        <v>Escarcelou Pte</v>
      </c>
      <c r="O296" s="172">
        <f>SUMPRODUCT(--(PARCELLAIRE!H$2:H$58=UTILISATIONS!N296))</f>
        <v>0</v>
      </c>
    </row>
    <row r="297" spans="1:15">
      <c r="A297" s="105">
        <v>2013</v>
      </c>
      <c r="B297" s="105" t="str">
        <f>INDEX(PARCELLAIRE!$B$2:$B$29,MATCH(UTILISATIONS!C297,PARCELLAIRE!$D$2:$D$29,0))</f>
        <v xml:space="preserve">BLE DUR </v>
      </c>
      <c r="C297" s="105" t="s">
        <v>161</v>
      </c>
      <c r="D297" s="106">
        <v>41421</v>
      </c>
      <c r="E297" s="105" t="s">
        <v>88</v>
      </c>
      <c r="F297" s="105" t="s">
        <v>69</v>
      </c>
      <c r="G297" s="105" t="str">
        <f>VLOOKUP(E297,ACHATS!$C:$D,2,0)</f>
        <v>FONGICIDES</v>
      </c>
      <c r="H297" s="107">
        <v>0.8</v>
      </c>
      <c r="I297" s="107">
        <f>VLOOKUP(C297,PARCELLAIRE!$D$2:$F$29,3,0)</f>
        <v>5.07</v>
      </c>
      <c r="J297" s="107">
        <f t="shared" si="16"/>
        <v>4.056</v>
      </c>
      <c r="K297" s="107">
        <f>VLOOKUP(E297,'COUT MOYEN'!$B$1:$E$71,4,0)</f>
        <v>54</v>
      </c>
      <c r="L297" s="108">
        <f t="shared" si="17"/>
        <v>219.024</v>
      </c>
      <c r="M297" s="108"/>
      <c r="N297" s="63" t="str">
        <f t="shared" si="18"/>
        <v>Laclos</v>
      </c>
      <c r="O297" s="172">
        <f>SUMPRODUCT(--(PARCELLAIRE!H$2:H$58=UTILISATIONS!N297))</f>
        <v>0</v>
      </c>
    </row>
    <row r="298" spans="1:15">
      <c r="A298" s="105">
        <v>2013</v>
      </c>
      <c r="B298" s="105" t="str">
        <f>INDEX(PARCELLAIRE!$B$2:$B$29,MATCH(UTILISATIONS!C298,PARCELLAIRE!$D$2:$D$29,0))</f>
        <v xml:space="preserve">BLE DUR </v>
      </c>
      <c r="C298" s="105" t="s">
        <v>162</v>
      </c>
      <c r="D298" s="106">
        <v>41421</v>
      </c>
      <c r="E298" s="105" t="s">
        <v>88</v>
      </c>
      <c r="F298" s="105" t="s">
        <v>69</v>
      </c>
      <c r="G298" s="105" t="str">
        <f>VLOOKUP(E298,ACHATS!$C:$D,2,0)</f>
        <v>FONGICIDES</v>
      </c>
      <c r="H298" s="107">
        <v>0.8</v>
      </c>
      <c r="I298" s="107">
        <f>VLOOKUP(C298,PARCELLAIRE!$D$2:$F$29,3,0)</f>
        <v>2.67</v>
      </c>
      <c r="J298" s="107">
        <f t="shared" si="16"/>
        <v>2.1360000000000001</v>
      </c>
      <c r="K298" s="107">
        <f>VLOOKUP(E298,'COUT MOYEN'!$B$1:$E$71,4,0)</f>
        <v>54</v>
      </c>
      <c r="L298" s="108">
        <f t="shared" si="17"/>
        <v>115.34400000000001</v>
      </c>
      <c r="M298" s="108"/>
      <c r="N298" s="63" t="str">
        <f t="shared" si="18"/>
        <v>Lescandes</v>
      </c>
      <c r="O298" s="172">
        <f>SUMPRODUCT(--(PARCELLAIRE!H$2:H$58=UTILISATIONS!N298))</f>
        <v>0</v>
      </c>
    </row>
    <row r="299" spans="1:15">
      <c r="A299" s="105">
        <v>2013</v>
      </c>
      <c r="B299" s="105" t="str">
        <f>INDEX(PARCELLAIRE!$B$2:$B$29,MATCH(UTILISATIONS!C299,PARCELLAIRE!$D$2:$D$29,0))</f>
        <v xml:space="preserve">BLE DUR </v>
      </c>
      <c r="C299" s="105" t="s">
        <v>172</v>
      </c>
      <c r="D299" s="106">
        <v>41421</v>
      </c>
      <c r="E299" s="105" t="s">
        <v>88</v>
      </c>
      <c r="F299" s="105" t="s">
        <v>69</v>
      </c>
      <c r="G299" s="105" t="str">
        <f>VLOOKUP(E299,ACHATS!$C:$D,2,0)</f>
        <v>FONGICIDES</v>
      </c>
      <c r="H299" s="107">
        <v>0.8</v>
      </c>
      <c r="I299" s="107">
        <f>VLOOKUP(C299,PARCELLAIRE!$D$2:$F$29,3,0)</f>
        <v>16.440000000000001</v>
      </c>
      <c r="J299" s="107">
        <f t="shared" si="16"/>
        <v>13.152000000000001</v>
      </c>
      <c r="K299" s="107">
        <f>VLOOKUP(E299,'COUT MOYEN'!$B$1:$E$71,4,0)</f>
        <v>54</v>
      </c>
      <c r="L299" s="108">
        <f t="shared" si="17"/>
        <v>710.20800000000008</v>
      </c>
      <c r="M299" s="108"/>
      <c r="N299" s="63" t="str">
        <f t="shared" si="18"/>
        <v>Lescandes Côteau</v>
      </c>
      <c r="O299" s="172">
        <f>SUMPRODUCT(--(PARCELLAIRE!H$2:H$58=UTILISATIONS!N299))</f>
        <v>0</v>
      </c>
    </row>
    <row r="300" spans="1:15">
      <c r="A300" s="105">
        <v>2013</v>
      </c>
      <c r="B300" s="105" t="str">
        <f>INDEX(PARCELLAIRE!$B$2:$B$29,MATCH(UTILISATIONS!C300,PARCELLAIRE!$D$2:$D$29,0))</f>
        <v xml:space="preserve">BLE DUR </v>
      </c>
      <c r="C300" s="105" t="s">
        <v>170</v>
      </c>
      <c r="D300" s="106">
        <v>41421</v>
      </c>
      <c r="E300" s="105" t="s">
        <v>88</v>
      </c>
      <c r="F300" s="105" t="s">
        <v>69</v>
      </c>
      <c r="G300" s="105" t="str">
        <f>VLOOKUP(E300,ACHATS!$C:$D,2,0)</f>
        <v>FONGICIDES</v>
      </c>
      <c r="H300" s="107">
        <v>0.8</v>
      </c>
      <c r="I300" s="107">
        <f>VLOOKUP(C300,PARCELLAIRE!$D$2:$F$29,3,0)</f>
        <v>1.26</v>
      </c>
      <c r="J300" s="107">
        <f t="shared" si="16"/>
        <v>1.008</v>
      </c>
      <c r="K300" s="107">
        <f>VLOOKUP(E300,'COUT MOYEN'!$B$1:$E$71,4,0)</f>
        <v>54</v>
      </c>
      <c r="L300" s="108">
        <f t="shared" si="17"/>
        <v>54.432000000000002</v>
      </c>
      <c r="M300" s="108"/>
      <c r="N300" s="63" t="str">
        <f t="shared" si="18"/>
        <v>Seillonne</v>
      </c>
      <c r="O300" s="172">
        <f>SUMPRODUCT(--(PARCELLAIRE!H$2:H$58=UTILISATIONS!N300))</f>
        <v>0</v>
      </c>
    </row>
    <row r="301" spans="1:15">
      <c r="A301" s="110">
        <v>2013</v>
      </c>
      <c r="B301" s="105" t="str">
        <f>INDEX(PARCELLAIRE!$B$2:$B$29,MATCH(UTILISATIONS!C301,PARCELLAIRE!$D$2:$D$29,0))</f>
        <v xml:space="preserve">SOJA </v>
      </c>
      <c r="C301" s="105" t="s">
        <v>173</v>
      </c>
      <c r="D301" s="106">
        <v>41421</v>
      </c>
      <c r="E301" s="105" t="s">
        <v>128</v>
      </c>
      <c r="F301" s="105" t="s">
        <v>68</v>
      </c>
      <c r="G301" s="105" t="str">
        <f>VLOOKUP(E301,ACHATS!$C:$D,2,0)</f>
        <v>SEMENCES</v>
      </c>
      <c r="H301" s="107">
        <v>100</v>
      </c>
      <c r="I301" s="107">
        <f>VLOOKUP(C301,PARCELLAIRE!$D$2:$F$29,3,0)</f>
        <v>8.58</v>
      </c>
      <c r="J301" s="107">
        <f t="shared" si="16"/>
        <v>858</v>
      </c>
      <c r="K301" s="107">
        <f>VLOOKUP(E301,'COUT MOYEN'!$B$1:$E$71,4,0)</f>
        <v>1</v>
      </c>
      <c r="L301" s="108">
        <f t="shared" si="17"/>
        <v>858</v>
      </c>
      <c r="M301" s="108"/>
      <c r="N301" s="63" t="str">
        <f t="shared" si="18"/>
        <v>Engleyse Route</v>
      </c>
      <c r="O301" s="172">
        <f>SUMPRODUCT(--(PARCELLAIRE!H$2:H$58=UTILISATIONS!N301))</f>
        <v>0</v>
      </c>
    </row>
    <row r="302" spans="1:15">
      <c r="A302" s="110">
        <v>2013</v>
      </c>
      <c r="B302" s="105" t="str">
        <f>INDEX(PARCELLAIRE!$B$2:$B$29,MATCH(UTILISATIONS!C302,PARCELLAIRE!$D$2:$D$29,0))</f>
        <v xml:space="preserve">SOJA </v>
      </c>
      <c r="C302" s="105" t="s">
        <v>173</v>
      </c>
      <c r="D302" s="106">
        <v>41421</v>
      </c>
      <c r="E302" s="105" t="s">
        <v>136</v>
      </c>
      <c r="F302" s="105" t="s">
        <v>68</v>
      </c>
      <c r="G302" s="105" t="str">
        <f>VLOOKUP(E302,ACHATS!$C:$D,2,0)</f>
        <v>SEMENCES</v>
      </c>
      <c r="H302" s="107">
        <v>100</v>
      </c>
      <c r="I302" s="107">
        <f>VLOOKUP(C302,PARCELLAIRE!$D$2:$F$29,3,0)</f>
        <v>8.58</v>
      </c>
      <c r="J302" s="107">
        <f t="shared" si="16"/>
        <v>858</v>
      </c>
      <c r="K302" s="107">
        <f>VLOOKUP(E302,'COUT MOYEN'!$B$1:$E$71,4,0)</f>
        <v>1</v>
      </c>
      <c r="L302" s="108">
        <f t="shared" si="17"/>
        <v>858</v>
      </c>
      <c r="M302" s="108"/>
      <c r="N302" s="63" t="str">
        <f t="shared" si="18"/>
        <v>Engleyse Route</v>
      </c>
      <c r="O302" s="172">
        <f>SUMPRODUCT(--(PARCELLAIRE!H$2:H$58=UTILISATIONS!N302))</f>
        <v>0</v>
      </c>
    </row>
    <row r="303" spans="1:15">
      <c r="A303" s="110">
        <v>2013</v>
      </c>
      <c r="B303" s="105" t="str">
        <f>INDEX(PARCELLAIRE!$B$2:$B$29,MATCH(UTILISATIONS!C303,PARCELLAIRE!$D$2:$D$29,0))</f>
        <v xml:space="preserve">SOJA </v>
      </c>
      <c r="C303" s="105" t="s">
        <v>173</v>
      </c>
      <c r="D303" s="106">
        <v>41421</v>
      </c>
      <c r="E303" s="105" t="s">
        <v>127</v>
      </c>
      <c r="F303" s="105" t="s">
        <v>68</v>
      </c>
      <c r="G303" s="105" t="str">
        <f>VLOOKUP(E303,ACHATS!$C:$D,2,0)</f>
        <v>DIVERS</v>
      </c>
      <c r="H303" s="107"/>
      <c r="I303" s="107">
        <f>VLOOKUP(C303,PARCELLAIRE!$D$2:$F$29,3,0)</f>
        <v>8.58</v>
      </c>
      <c r="J303" s="107">
        <f t="shared" si="16"/>
        <v>0</v>
      </c>
      <c r="K303" s="107">
        <f>VLOOKUP(E303,'COUT MOYEN'!$B$1:$E$71,4,0)</f>
        <v>33.07</v>
      </c>
      <c r="L303" s="108">
        <f t="shared" si="17"/>
        <v>0</v>
      </c>
      <c r="M303" s="108"/>
      <c r="N303" s="63" t="str">
        <f t="shared" si="18"/>
        <v>Engleyse Route</v>
      </c>
      <c r="O303" s="172">
        <f>SUMPRODUCT(--(PARCELLAIRE!H$2:H$58=UTILISATIONS!N303))</f>
        <v>0</v>
      </c>
    </row>
    <row r="304" spans="1:15">
      <c r="A304" s="110">
        <v>2013</v>
      </c>
      <c r="B304" s="105" t="str">
        <f>INDEX(PARCELLAIRE!$B$2:$B$29,MATCH(UTILISATIONS!C304,PARCELLAIRE!$D$2:$D$29,0))</f>
        <v xml:space="preserve">BLE DUR </v>
      </c>
      <c r="C304" s="110" t="s">
        <v>152</v>
      </c>
      <c r="D304" s="109">
        <v>41421</v>
      </c>
      <c r="E304" s="110" t="s">
        <v>88</v>
      </c>
      <c r="F304" s="110" t="s">
        <v>69</v>
      </c>
      <c r="G304" s="105" t="str">
        <f>VLOOKUP(E304,ACHATS!$C:$D,2,0)</f>
        <v>FONGICIDES</v>
      </c>
      <c r="H304" s="111">
        <v>0.8</v>
      </c>
      <c r="I304" s="107">
        <f>VLOOKUP(C304,PARCELLAIRE!$D$2:$F$29,3,0)</f>
        <v>1.34</v>
      </c>
      <c r="J304" s="107">
        <f t="shared" si="16"/>
        <v>1.0720000000000001</v>
      </c>
      <c r="K304" s="107">
        <f>VLOOKUP(E304,'COUT MOYEN'!$B$1:$E$71,4,0)</f>
        <v>54</v>
      </c>
      <c r="L304" s="112">
        <v>324</v>
      </c>
      <c r="M304" s="112"/>
      <c r="N304" s="63" t="str">
        <f t="shared" si="18"/>
        <v>Escarcelou Jachère</v>
      </c>
      <c r="O304" s="172">
        <f>SUMPRODUCT(--(PARCELLAIRE!H$2:H$58=UTILISATIONS!N304))</f>
        <v>0</v>
      </c>
    </row>
    <row r="305" spans="1:15">
      <c r="A305" s="105">
        <v>2013</v>
      </c>
      <c r="B305" s="105" t="str">
        <f>INDEX(PARCELLAIRE!$B$2:$B$29,MATCH(UTILISATIONS!C305,PARCELLAIRE!$D$2:$D$29,0))</f>
        <v>SORGHO</v>
      </c>
      <c r="C305" s="105" t="s">
        <v>149</v>
      </c>
      <c r="D305" s="106">
        <v>41431</v>
      </c>
      <c r="E305" s="105" t="s">
        <v>129</v>
      </c>
      <c r="F305" s="105" t="s">
        <v>68</v>
      </c>
      <c r="G305" s="105" t="str">
        <f>VLOOKUP(E305,ACHATS!$C:$D,2,0)</f>
        <v>SEMENCES</v>
      </c>
      <c r="H305" s="107">
        <v>0.96</v>
      </c>
      <c r="I305" s="107">
        <f>VLOOKUP(C305,PARCELLAIRE!$D$2:$F$29,3,0)</f>
        <v>10.93</v>
      </c>
      <c r="J305" s="107">
        <f t="shared" si="16"/>
        <v>10.492799999999999</v>
      </c>
      <c r="K305" s="107">
        <f>VLOOKUP(E305,'COUT MOYEN'!$B$1:$E$71,4,0)</f>
        <v>105</v>
      </c>
      <c r="L305" s="108">
        <f t="shared" ref="L305:L336" si="19">K305*J305</f>
        <v>1101.7439999999999</v>
      </c>
      <c r="M305" s="108"/>
      <c r="N305" s="63" t="str">
        <f t="shared" si="18"/>
        <v>Engleyse métairie</v>
      </c>
      <c r="O305" s="172">
        <f>SUMPRODUCT(--(PARCELLAIRE!H$2:H$58=UTILISATIONS!N305))</f>
        <v>0</v>
      </c>
    </row>
    <row r="306" spans="1:15">
      <c r="A306" s="110">
        <v>2013</v>
      </c>
      <c r="B306" s="105" t="str">
        <f>INDEX(PARCELLAIRE!$B$2:$B$29,MATCH(UTILISATIONS!C306,PARCELLAIRE!$D$2:$D$29,0))</f>
        <v>TOURNESOL</v>
      </c>
      <c r="C306" s="105" t="s">
        <v>157</v>
      </c>
      <c r="D306" s="106">
        <v>41439</v>
      </c>
      <c r="E306" s="105" t="s">
        <v>132</v>
      </c>
      <c r="F306" s="110" t="s">
        <v>69</v>
      </c>
      <c r="G306" s="105" t="str">
        <f>VLOOKUP(E306,ACHATS!$C:$D,2,0)</f>
        <v>SEMENCES</v>
      </c>
      <c r="H306" s="107">
        <v>0.43</v>
      </c>
      <c r="I306" s="107">
        <f>VLOOKUP(C306,PARCELLAIRE!$D$2:$F$29,3,0)</f>
        <v>5.26</v>
      </c>
      <c r="J306" s="107">
        <f t="shared" si="16"/>
        <v>2.2618</v>
      </c>
      <c r="K306" s="107">
        <f>VLOOKUP(E306,'COUT MOYEN'!$B$1:$E$71,4,0)</f>
        <v>1</v>
      </c>
      <c r="L306" s="108">
        <f t="shared" si="19"/>
        <v>2.2618</v>
      </c>
      <c r="M306" s="108"/>
      <c r="N306" s="63" t="str">
        <f t="shared" si="18"/>
        <v>L'Aule métairie</v>
      </c>
      <c r="O306" s="172">
        <f>SUMPRODUCT(--(PARCELLAIRE!H$2:H$58=UTILISATIONS!N306))</f>
        <v>1</v>
      </c>
    </row>
    <row r="307" spans="1:15">
      <c r="A307" s="105">
        <v>2013</v>
      </c>
      <c r="B307" s="105" t="str">
        <f>INDEX(PARCELLAIRE!$B$2:$B$29,MATCH(UTILISATIONS!C307,PARCELLAIRE!$D$2:$D$29,0))</f>
        <v>TOURNESOL</v>
      </c>
      <c r="C307" s="105" t="s">
        <v>168</v>
      </c>
      <c r="D307" s="106">
        <v>41449</v>
      </c>
      <c r="E307" s="105" t="s">
        <v>123</v>
      </c>
      <c r="F307" s="105" t="s">
        <v>69</v>
      </c>
      <c r="G307" s="105" t="str">
        <f>VLOOKUP(E307,ACHATS!$C:$D,2,0)</f>
        <v>DESHERBANT</v>
      </c>
      <c r="H307" s="107">
        <v>1</v>
      </c>
      <c r="I307" s="107">
        <f>VLOOKUP(C307,PARCELLAIRE!$D$2:$F$29,3,0)</f>
        <v>4.42</v>
      </c>
      <c r="J307" s="107">
        <f t="shared" si="16"/>
        <v>4.42</v>
      </c>
      <c r="K307" s="107">
        <f>VLOOKUP(E307,'COUT MOYEN'!$B$1:$E$71,4,0)</f>
        <v>1</v>
      </c>
      <c r="L307" s="108">
        <f t="shared" si="19"/>
        <v>4.42</v>
      </c>
      <c r="M307" s="108"/>
      <c r="N307" s="63" t="str">
        <f t="shared" si="18"/>
        <v>Picotalène Nord</v>
      </c>
      <c r="O307" s="172">
        <f>SUMPRODUCT(--(PARCELLAIRE!H$2:H$58=UTILISATIONS!N307))</f>
        <v>0</v>
      </c>
    </row>
    <row r="308" spans="1:15">
      <c r="A308" s="105">
        <v>2013</v>
      </c>
      <c r="B308" s="105" t="str">
        <f>INDEX(PARCELLAIRE!$B$2:$B$29,MATCH(UTILISATIONS!C308,PARCELLAIRE!$D$2:$D$29,0))</f>
        <v>TOURNESOL</v>
      </c>
      <c r="C308" s="105" t="s">
        <v>169</v>
      </c>
      <c r="D308" s="106">
        <v>41449</v>
      </c>
      <c r="E308" s="105" t="s">
        <v>123</v>
      </c>
      <c r="F308" s="105" t="s">
        <v>69</v>
      </c>
      <c r="G308" s="105" t="str">
        <f>VLOOKUP(E308,ACHATS!$C:$D,2,0)</f>
        <v>DESHERBANT</v>
      </c>
      <c r="H308" s="107">
        <v>1</v>
      </c>
      <c r="I308" s="107">
        <f>VLOOKUP(C308,PARCELLAIRE!$D$2:$F$29,3,0)</f>
        <v>12.06</v>
      </c>
      <c r="J308" s="107">
        <f t="shared" si="16"/>
        <v>12.06</v>
      </c>
      <c r="K308" s="107">
        <f>VLOOKUP(E308,'COUT MOYEN'!$B$1:$E$71,4,0)</f>
        <v>1</v>
      </c>
      <c r="L308" s="108">
        <f t="shared" si="19"/>
        <v>12.06</v>
      </c>
      <c r="M308" s="108"/>
      <c r="N308" s="63" t="str">
        <f t="shared" si="18"/>
        <v>Pourtanel</v>
      </c>
      <c r="O308" s="172">
        <f>SUMPRODUCT(--(PARCELLAIRE!H$2:H$58=UTILISATIONS!N308))</f>
        <v>0</v>
      </c>
    </row>
    <row r="309" spans="1:15">
      <c r="A309" s="105">
        <v>2013</v>
      </c>
      <c r="B309" s="105" t="str">
        <f>INDEX(PARCELLAIRE!$B$2:$B$29,MATCH(UTILISATIONS!C309,PARCELLAIRE!$D$2:$D$29,0))</f>
        <v>TOURNESOL</v>
      </c>
      <c r="C309" s="105" t="s">
        <v>171</v>
      </c>
      <c r="D309" s="106">
        <v>41449</v>
      </c>
      <c r="E309" s="105" t="s">
        <v>123</v>
      </c>
      <c r="F309" s="105" t="s">
        <v>69</v>
      </c>
      <c r="G309" s="105" t="str">
        <f>VLOOKUP(E309,ACHATS!$C:$D,2,0)</f>
        <v>DESHERBANT</v>
      </c>
      <c r="H309" s="107">
        <v>1</v>
      </c>
      <c r="I309" s="107">
        <f>VLOOKUP(C309,PARCELLAIRE!$D$2:$F$29,3,0)</f>
        <v>4.12</v>
      </c>
      <c r="J309" s="107">
        <f t="shared" si="16"/>
        <v>4.12</v>
      </c>
      <c r="K309" s="107">
        <f>VLOOKUP(E309,'COUT MOYEN'!$B$1:$E$71,4,0)</f>
        <v>1</v>
      </c>
      <c r="L309" s="108">
        <f t="shared" si="19"/>
        <v>4.12</v>
      </c>
      <c r="M309" s="108"/>
      <c r="N309" s="63" t="str">
        <f t="shared" si="18"/>
        <v>Picotalène Midi</v>
      </c>
      <c r="O309" s="172">
        <f>SUMPRODUCT(--(PARCELLAIRE!H$2:H$58=UTILISATIONS!N309))</f>
        <v>0</v>
      </c>
    </row>
    <row r="310" spans="1:15">
      <c r="A310" s="105">
        <v>2013</v>
      </c>
      <c r="B310" s="105" t="str">
        <f>INDEX(PARCELLAIRE!$B$2:$B$29,MATCH(UTILISATIONS!C310,PARCELLAIRE!$D$2:$D$29,0))</f>
        <v>TOURNESOL</v>
      </c>
      <c r="C310" s="105" t="s">
        <v>175</v>
      </c>
      <c r="D310" s="106">
        <v>41449</v>
      </c>
      <c r="E310" s="105" t="s">
        <v>123</v>
      </c>
      <c r="F310" s="105" t="s">
        <v>69</v>
      </c>
      <c r="G310" s="105" t="str">
        <f>VLOOKUP(E310,ACHATS!$C:$D,2,0)</f>
        <v>DESHERBANT</v>
      </c>
      <c r="H310" s="107">
        <v>1</v>
      </c>
      <c r="I310" s="107">
        <f>VLOOKUP(C310,PARCELLAIRE!$D$2:$F$29,3,0)</f>
        <v>2.33</v>
      </c>
      <c r="J310" s="107">
        <f t="shared" si="16"/>
        <v>2.33</v>
      </c>
      <c r="K310" s="107">
        <f>VLOOKUP(E310,'COUT MOYEN'!$B$1:$E$71,4,0)</f>
        <v>1</v>
      </c>
      <c r="L310" s="108">
        <f t="shared" si="19"/>
        <v>2.33</v>
      </c>
      <c r="M310" s="108"/>
      <c r="N310" s="63" t="str">
        <f t="shared" si="18"/>
        <v>Bousquet Pourtanel</v>
      </c>
      <c r="O310" s="172">
        <f>SUMPRODUCT(--(PARCELLAIRE!H$2:H$58=UTILISATIONS!N310))</f>
        <v>0</v>
      </c>
    </row>
    <row r="311" spans="1:15">
      <c r="A311" s="105">
        <v>2013</v>
      </c>
      <c r="B311" s="105" t="str">
        <f>INDEX(PARCELLAIRE!$B$2:$B$29,MATCH(UTILISATIONS!C311,PARCELLAIRE!$D$2:$D$29,0))</f>
        <v>TOURNESOL</v>
      </c>
      <c r="C311" s="105" t="s">
        <v>168</v>
      </c>
      <c r="D311" s="106">
        <v>41449</v>
      </c>
      <c r="E311" s="105" t="s">
        <v>25</v>
      </c>
      <c r="F311" s="105" t="s">
        <v>69</v>
      </c>
      <c r="G311" s="105" t="str">
        <f>VLOOKUP(E311,ACHATS!$C:$D,2,0)</f>
        <v>DIVERS</v>
      </c>
      <c r="H311" s="107">
        <v>0.2</v>
      </c>
      <c r="I311" s="107">
        <f>VLOOKUP(C311,PARCELLAIRE!$D$2:$F$29,3,0)</f>
        <v>4.42</v>
      </c>
      <c r="J311" s="107">
        <f t="shared" si="16"/>
        <v>0.88400000000000001</v>
      </c>
      <c r="K311" s="107">
        <f>VLOOKUP(E311,'COUT MOYEN'!$B$1:$E$71,4,0)</f>
        <v>11.01</v>
      </c>
      <c r="L311" s="108">
        <f t="shared" si="19"/>
        <v>9.7328399999999995</v>
      </c>
      <c r="M311" s="108"/>
      <c r="N311" s="63" t="str">
        <f t="shared" si="18"/>
        <v>Picotalène Nord</v>
      </c>
      <c r="O311" s="172">
        <f>SUMPRODUCT(--(PARCELLAIRE!H$2:H$58=UTILISATIONS!N311))</f>
        <v>0</v>
      </c>
    </row>
    <row r="312" spans="1:15">
      <c r="A312" s="105">
        <v>2013</v>
      </c>
      <c r="B312" s="105" t="str">
        <f>INDEX(PARCELLAIRE!$B$2:$B$29,MATCH(UTILISATIONS!C312,PARCELLAIRE!$D$2:$D$29,0))</f>
        <v>TOURNESOL</v>
      </c>
      <c r="C312" s="105" t="s">
        <v>171</v>
      </c>
      <c r="D312" s="106">
        <v>41449</v>
      </c>
      <c r="E312" s="105" t="s">
        <v>25</v>
      </c>
      <c r="F312" s="105" t="s">
        <v>69</v>
      </c>
      <c r="G312" s="105" t="str">
        <f>VLOOKUP(E312,ACHATS!$C:$D,2,0)</f>
        <v>DIVERS</v>
      </c>
      <c r="H312" s="107">
        <v>0.2</v>
      </c>
      <c r="I312" s="107">
        <f>VLOOKUP(C312,PARCELLAIRE!$D$2:$F$29,3,0)</f>
        <v>4.12</v>
      </c>
      <c r="J312" s="107">
        <f t="shared" si="16"/>
        <v>0.82400000000000007</v>
      </c>
      <c r="K312" s="107">
        <f>VLOOKUP(E312,'COUT MOYEN'!$B$1:$E$71,4,0)</f>
        <v>11.01</v>
      </c>
      <c r="L312" s="108">
        <f t="shared" si="19"/>
        <v>9.0722400000000007</v>
      </c>
      <c r="M312" s="108"/>
      <c r="N312" s="63" t="str">
        <f t="shared" si="18"/>
        <v>Picotalène Midi</v>
      </c>
      <c r="O312" s="172">
        <f>SUMPRODUCT(--(PARCELLAIRE!H$2:H$58=UTILISATIONS!N312))</f>
        <v>0</v>
      </c>
    </row>
    <row r="313" spans="1:15">
      <c r="A313" s="105">
        <v>2013</v>
      </c>
      <c r="B313" s="105" t="str">
        <f>INDEX(PARCELLAIRE!$B$2:$B$29,MATCH(UTILISATIONS!C313,PARCELLAIRE!$D$2:$D$29,0))</f>
        <v>TOURNESOL</v>
      </c>
      <c r="C313" s="105" t="s">
        <v>169</v>
      </c>
      <c r="D313" s="106">
        <v>41449</v>
      </c>
      <c r="E313" s="105" t="s">
        <v>25</v>
      </c>
      <c r="F313" s="105" t="s">
        <v>69</v>
      </c>
      <c r="G313" s="105" t="str">
        <f>VLOOKUP(E313,ACHATS!$C:$D,2,0)</f>
        <v>DIVERS</v>
      </c>
      <c r="H313" s="107">
        <v>0.2</v>
      </c>
      <c r="I313" s="107">
        <f>VLOOKUP(C313,PARCELLAIRE!$D$2:$F$29,3,0)</f>
        <v>12.06</v>
      </c>
      <c r="J313" s="107">
        <f t="shared" si="16"/>
        <v>2.4120000000000004</v>
      </c>
      <c r="K313" s="107">
        <f>VLOOKUP(E313,'COUT MOYEN'!$B$1:$E$71,4,0)</f>
        <v>11.01</v>
      </c>
      <c r="L313" s="108">
        <f t="shared" si="19"/>
        <v>26.556120000000004</v>
      </c>
      <c r="M313" s="108"/>
      <c r="N313" s="63" t="str">
        <f t="shared" si="18"/>
        <v>Pourtanel</v>
      </c>
      <c r="O313" s="172">
        <f>SUMPRODUCT(--(PARCELLAIRE!H$2:H$58=UTILISATIONS!N313))</f>
        <v>0</v>
      </c>
    </row>
    <row r="314" spans="1:15">
      <c r="A314" s="105">
        <v>2013</v>
      </c>
      <c r="B314" s="105" t="str">
        <f>INDEX(PARCELLAIRE!$B$2:$B$29,MATCH(UTILISATIONS!C314,PARCELLAIRE!$D$2:$D$29,0))</f>
        <v>TOURNESOL</v>
      </c>
      <c r="C314" s="105" t="s">
        <v>175</v>
      </c>
      <c r="D314" s="106">
        <v>41449</v>
      </c>
      <c r="E314" s="105" t="s">
        <v>25</v>
      </c>
      <c r="F314" s="105" t="s">
        <v>69</v>
      </c>
      <c r="G314" s="105" t="str">
        <f>VLOOKUP(E314,ACHATS!$C:$D,2,0)</f>
        <v>DIVERS</v>
      </c>
      <c r="H314" s="107">
        <v>0.2</v>
      </c>
      <c r="I314" s="107">
        <f>VLOOKUP(C314,PARCELLAIRE!$D$2:$F$29,3,0)</f>
        <v>2.33</v>
      </c>
      <c r="J314" s="107">
        <f t="shared" si="16"/>
        <v>0.46600000000000003</v>
      </c>
      <c r="K314" s="107">
        <f>VLOOKUP(E314,'COUT MOYEN'!$B$1:$E$71,4,0)</f>
        <v>11.01</v>
      </c>
      <c r="L314" s="108">
        <f t="shared" si="19"/>
        <v>5.1306599999999998</v>
      </c>
      <c r="M314" s="108"/>
      <c r="N314" s="63" t="str">
        <f t="shared" si="18"/>
        <v>Bousquet Pourtanel</v>
      </c>
      <c r="O314" s="172">
        <f>SUMPRODUCT(--(PARCELLAIRE!H$2:H$58=UTILISATIONS!N314))</f>
        <v>0</v>
      </c>
    </row>
    <row r="315" spans="1:15">
      <c r="A315" s="105">
        <v>2013</v>
      </c>
      <c r="B315" s="105" t="str">
        <f>INDEX(PARCELLAIRE!$B$2:$B$29,MATCH(UTILISATIONS!C315,PARCELLAIRE!$D$2:$D$29,0))</f>
        <v>TOURNESOL</v>
      </c>
      <c r="C315" s="105" t="s">
        <v>168</v>
      </c>
      <c r="D315" s="106">
        <v>41449</v>
      </c>
      <c r="E315" s="105" t="s">
        <v>27</v>
      </c>
      <c r="F315" s="105" t="s">
        <v>69</v>
      </c>
      <c r="G315" s="105" t="str">
        <f>VLOOKUP(E315,ACHATS!$C:$D,2,0)</f>
        <v>DIVERS</v>
      </c>
      <c r="H315" s="113">
        <v>0.8</v>
      </c>
      <c r="I315" s="107">
        <f>VLOOKUP(C315,PARCELLAIRE!$D$2:$F$29,3,0)</f>
        <v>4.42</v>
      </c>
      <c r="J315" s="107">
        <f t="shared" si="16"/>
        <v>3.536</v>
      </c>
      <c r="K315" s="107">
        <f>VLOOKUP(E315,'COUT MOYEN'!$B$1:$E$71,4,0)</f>
        <v>0.88</v>
      </c>
      <c r="L315" s="108">
        <f t="shared" si="19"/>
        <v>3.1116800000000002</v>
      </c>
      <c r="M315" s="108"/>
      <c r="N315" s="63" t="str">
        <f t="shared" si="18"/>
        <v>Picotalène Nord</v>
      </c>
      <c r="O315" s="172">
        <f>SUMPRODUCT(--(PARCELLAIRE!H$2:H$58=UTILISATIONS!N315))</f>
        <v>0</v>
      </c>
    </row>
    <row r="316" spans="1:15">
      <c r="A316" s="105">
        <v>2013</v>
      </c>
      <c r="B316" s="105" t="str">
        <f>INDEX(PARCELLAIRE!$B$2:$B$29,MATCH(UTILISATIONS!C316,PARCELLAIRE!$D$2:$D$29,0))</f>
        <v>TOURNESOL</v>
      </c>
      <c r="C316" s="105" t="s">
        <v>169</v>
      </c>
      <c r="D316" s="106">
        <v>41449</v>
      </c>
      <c r="E316" s="105" t="s">
        <v>27</v>
      </c>
      <c r="F316" s="105" t="s">
        <v>69</v>
      </c>
      <c r="G316" s="105" t="str">
        <f>VLOOKUP(E316,ACHATS!$C:$D,2,0)</f>
        <v>DIVERS</v>
      </c>
      <c r="H316" s="113">
        <v>0.8</v>
      </c>
      <c r="I316" s="107">
        <f>VLOOKUP(C316,PARCELLAIRE!$D$2:$F$29,3,0)</f>
        <v>12.06</v>
      </c>
      <c r="J316" s="107">
        <f t="shared" si="16"/>
        <v>9.6480000000000015</v>
      </c>
      <c r="K316" s="107">
        <f>VLOOKUP(E316,'COUT MOYEN'!$B$1:$E$71,4,0)</f>
        <v>0.88</v>
      </c>
      <c r="L316" s="108">
        <f t="shared" si="19"/>
        <v>8.4902400000000018</v>
      </c>
      <c r="M316" s="108"/>
      <c r="N316" s="63" t="str">
        <f t="shared" si="18"/>
        <v>Pourtanel</v>
      </c>
      <c r="O316" s="172">
        <f>SUMPRODUCT(--(PARCELLAIRE!H$2:H$58=UTILISATIONS!N316))</f>
        <v>0</v>
      </c>
    </row>
    <row r="317" spans="1:15">
      <c r="A317" s="105">
        <v>2013</v>
      </c>
      <c r="B317" s="105" t="str">
        <f>INDEX(PARCELLAIRE!$B$2:$B$29,MATCH(UTILISATIONS!C317,PARCELLAIRE!$D$2:$D$29,0))</f>
        <v>TOURNESOL</v>
      </c>
      <c r="C317" s="105" t="s">
        <v>171</v>
      </c>
      <c r="D317" s="106">
        <v>41449</v>
      </c>
      <c r="E317" s="105" t="s">
        <v>27</v>
      </c>
      <c r="F317" s="105" t="s">
        <v>69</v>
      </c>
      <c r="G317" s="105" t="str">
        <f>VLOOKUP(E317,ACHATS!$C:$D,2,0)</f>
        <v>DIVERS</v>
      </c>
      <c r="H317" s="113">
        <v>0.8</v>
      </c>
      <c r="I317" s="107">
        <f>VLOOKUP(C317,PARCELLAIRE!$D$2:$F$29,3,0)</f>
        <v>4.12</v>
      </c>
      <c r="J317" s="107">
        <f t="shared" si="16"/>
        <v>3.2960000000000003</v>
      </c>
      <c r="K317" s="107">
        <f>VLOOKUP(E317,'COUT MOYEN'!$B$1:$E$71,4,0)</f>
        <v>0.88</v>
      </c>
      <c r="L317" s="108">
        <f t="shared" si="19"/>
        <v>2.9004800000000004</v>
      </c>
      <c r="M317" s="108"/>
      <c r="N317" s="63" t="str">
        <f t="shared" si="18"/>
        <v>Picotalène Midi</v>
      </c>
      <c r="O317" s="172">
        <f>SUMPRODUCT(--(PARCELLAIRE!H$2:H$58=UTILISATIONS!N317))</f>
        <v>0</v>
      </c>
    </row>
    <row r="318" spans="1:15">
      <c r="A318" s="105">
        <v>2013</v>
      </c>
      <c r="B318" s="105" t="str">
        <f>INDEX(PARCELLAIRE!$B$2:$B$29,MATCH(UTILISATIONS!C318,PARCELLAIRE!$D$2:$D$29,0))</f>
        <v>TOURNESOL</v>
      </c>
      <c r="C318" s="105" t="s">
        <v>175</v>
      </c>
      <c r="D318" s="106">
        <v>41449</v>
      </c>
      <c r="E318" s="105" t="s">
        <v>27</v>
      </c>
      <c r="F318" s="105" t="s">
        <v>69</v>
      </c>
      <c r="G318" s="105" t="str">
        <f>VLOOKUP(E318,ACHATS!$C:$D,2,0)</f>
        <v>DIVERS</v>
      </c>
      <c r="H318" s="113">
        <v>0.8</v>
      </c>
      <c r="I318" s="107">
        <f>VLOOKUP(C318,PARCELLAIRE!$D$2:$F$29,3,0)</f>
        <v>2.33</v>
      </c>
      <c r="J318" s="107">
        <f t="shared" si="16"/>
        <v>1.8640000000000001</v>
      </c>
      <c r="K318" s="107">
        <f>VLOOKUP(E318,'COUT MOYEN'!$B$1:$E$71,4,0)</f>
        <v>0.88</v>
      </c>
      <c r="L318" s="108">
        <f t="shared" si="19"/>
        <v>1.64032</v>
      </c>
      <c r="M318" s="108"/>
      <c r="N318" s="63" t="str">
        <f t="shared" si="18"/>
        <v>Bousquet Pourtanel</v>
      </c>
      <c r="O318" s="172">
        <f>SUMPRODUCT(--(PARCELLAIRE!H$2:H$58=UTILISATIONS!N318))</f>
        <v>0</v>
      </c>
    </row>
    <row r="319" spans="1:15">
      <c r="A319" s="105">
        <v>2013</v>
      </c>
      <c r="B319" s="105" t="str">
        <f>INDEX(PARCELLAIRE!$B$2:$B$29,MATCH(UTILISATIONS!C319,PARCELLAIRE!$D$2:$D$29,0))</f>
        <v>TOURNESOL</v>
      </c>
      <c r="C319" s="105" t="s">
        <v>168</v>
      </c>
      <c r="D319" s="106">
        <v>41450</v>
      </c>
      <c r="E319" s="105" t="s">
        <v>14</v>
      </c>
      <c r="F319" s="105" t="s">
        <v>68</v>
      </c>
      <c r="G319" s="105" t="str">
        <f>VLOOKUP(E319,ACHATS!$C:$D,2,0)</f>
        <v>ENGRAIS</v>
      </c>
      <c r="H319" s="107">
        <v>76</v>
      </c>
      <c r="I319" s="107">
        <f>VLOOKUP(C319,PARCELLAIRE!$D$2:$F$29,3,0)</f>
        <v>4.42</v>
      </c>
      <c r="J319" s="107">
        <f t="shared" si="16"/>
        <v>335.92</v>
      </c>
      <c r="K319" s="107">
        <f>VLOOKUP(E319,'COUT MOYEN'!$B$1:$E$71,4,0)</f>
        <v>0.41883673469387755</v>
      </c>
      <c r="L319" s="108">
        <f t="shared" si="19"/>
        <v>140.69563591836734</v>
      </c>
      <c r="M319" s="108"/>
      <c r="N319" s="63" t="str">
        <f t="shared" si="18"/>
        <v>Picotalène Nord</v>
      </c>
      <c r="O319" s="172">
        <f>SUMPRODUCT(--(PARCELLAIRE!H$2:H$58=UTILISATIONS!N319))</f>
        <v>0</v>
      </c>
    </row>
    <row r="320" spans="1:15">
      <c r="A320" s="105">
        <v>2013</v>
      </c>
      <c r="B320" s="105" t="str">
        <f>INDEX(PARCELLAIRE!$B$2:$B$29,MATCH(UTILISATIONS!C320,PARCELLAIRE!$D$2:$D$29,0))</f>
        <v>TOURNESOL</v>
      </c>
      <c r="C320" s="105" t="s">
        <v>169</v>
      </c>
      <c r="D320" s="106">
        <v>41450</v>
      </c>
      <c r="E320" s="105" t="s">
        <v>14</v>
      </c>
      <c r="F320" s="105" t="s">
        <v>68</v>
      </c>
      <c r="G320" s="105" t="str">
        <f>VLOOKUP(E320,ACHATS!$C:$D,2,0)</f>
        <v>ENGRAIS</v>
      </c>
      <c r="H320" s="107">
        <v>76</v>
      </c>
      <c r="I320" s="107">
        <f>VLOOKUP(C320,PARCELLAIRE!$D$2:$F$29,3,0)</f>
        <v>12.06</v>
      </c>
      <c r="J320" s="107">
        <f t="shared" si="16"/>
        <v>916.56000000000006</v>
      </c>
      <c r="K320" s="107">
        <f>VLOOKUP(E320,'COUT MOYEN'!$B$1:$E$71,4,0)</f>
        <v>0.41883673469387755</v>
      </c>
      <c r="L320" s="108">
        <f t="shared" si="19"/>
        <v>383.88899755102045</v>
      </c>
      <c r="M320" s="108"/>
      <c r="N320" s="63" t="str">
        <f t="shared" si="18"/>
        <v>Pourtanel</v>
      </c>
      <c r="O320" s="172">
        <f>SUMPRODUCT(--(PARCELLAIRE!H$2:H$58=UTILISATIONS!N320))</f>
        <v>0</v>
      </c>
    </row>
    <row r="321" spans="1:15">
      <c r="A321" s="105">
        <v>2013</v>
      </c>
      <c r="B321" s="105" t="str">
        <f>INDEX(PARCELLAIRE!$B$2:$B$29,MATCH(UTILISATIONS!C321,PARCELLAIRE!$D$2:$D$29,0))</f>
        <v>TOURNESOL</v>
      </c>
      <c r="C321" s="105" t="s">
        <v>171</v>
      </c>
      <c r="D321" s="106">
        <v>41450</v>
      </c>
      <c r="E321" s="105" t="s">
        <v>14</v>
      </c>
      <c r="F321" s="105" t="s">
        <v>68</v>
      </c>
      <c r="G321" s="105" t="str">
        <f>VLOOKUP(E321,ACHATS!$C:$D,2,0)</f>
        <v>ENGRAIS</v>
      </c>
      <c r="H321" s="107">
        <v>76</v>
      </c>
      <c r="I321" s="107">
        <f>VLOOKUP(C321,PARCELLAIRE!$D$2:$F$29,3,0)</f>
        <v>4.12</v>
      </c>
      <c r="J321" s="107">
        <f t="shared" si="16"/>
        <v>313.12</v>
      </c>
      <c r="K321" s="107">
        <f>VLOOKUP(E321,'COUT MOYEN'!$B$1:$E$71,4,0)</f>
        <v>0.41883673469387755</v>
      </c>
      <c r="L321" s="108">
        <f t="shared" si="19"/>
        <v>131.14615836734694</v>
      </c>
      <c r="M321" s="108"/>
      <c r="N321" s="63" t="str">
        <f t="shared" si="18"/>
        <v>Picotalène Midi</v>
      </c>
      <c r="O321" s="172">
        <f>SUMPRODUCT(--(PARCELLAIRE!H$2:H$58=UTILISATIONS!N321))</f>
        <v>0</v>
      </c>
    </row>
    <row r="322" spans="1:15">
      <c r="A322" s="105">
        <v>2013</v>
      </c>
      <c r="B322" s="105" t="str">
        <f>INDEX(PARCELLAIRE!$B$2:$B$29,MATCH(UTILISATIONS!C322,PARCELLAIRE!$D$2:$D$29,0))</f>
        <v>TOURNESOL</v>
      </c>
      <c r="C322" s="105" t="s">
        <v>175</v>
      </c>
      <c r="D322" s="106">
        <v>41450</v>
      </c>
      <c r="E322" s="105" t="s">
        <v>14</v>
      </c>
      <c r="F322" s="105" t="s">
        <v>68</v>
      </c>
      <c r="G322" s="105" t="str">
        <f>VLOOKUP(E322,ACHATS!$C:$D,2,0)</f>
        <v>ENGRAIS</v>
      </c>
      <c r="H322" s="107">
        <v>76</v>
      </c>
      <c r="I322" s="107">
        <f>VLOOKUP(C322,PARCELLAIRE!$D$2:$F$29,3,0)</f>
        <v>2.33</v>
      </c>
      <c r="J322" s="107">
        <f t="shared" ref="J322:J383" si="20">I322*H322</f>
        <v>177.08</v>
      </c>
      <c r="K322" s="107">
        <f>VLOOKUP(E322,'COUT MOYEN'!$B$1:$E$71,4,0)</f>
        <v>0.41883673469387755</v>
      </c>
      <c r="L322" s="108">
        <f t="shared" si="19"/>
        <v>74.167608979591847</v>
      </c>
      <c r="M322" s="108"/>
      <c r="N322" s="63" t="str">
        <f t="shared" ref="N322:N385" si="21">IF(WHEN=A322,C322,1)</f>
        <v>Bousquet Pourtanel</v>
      </c>
      <c r="O322" s="172">
        <f>SUMPRODUCT(--(PARCELLAIRE!H$2:H$58=UTILISATIONS!N322))</f>
        <v>0</v>
      </c>
    </row>
    <row r="323" spans="1:15">
      <c r="A323" s="105">
        <v>2013</v>
      </c>
      <c r="B323" s="105" t="str">
        <f>INDEX(PARCELLAIRE!$B$2:$B$29,MATCH(UTILISATIONS!C323,PARCELLAIRE!$D$2:$D$29,0))</f>
        <v xml:space="preserve">SOJA </v>
      </c>
      <c r="C323" s="105" t="s">
        <v>173</v>
      </c>
      <c r="D323" s="106">
        <v>41450</v>
      </c>
      <c r="E323" s="105" t="s">
        <v>123</v>
      </c>
      <c r="F323" s="105" t="s">
        <v>69</v>
      </c>
      <c r="G323" s="105" t="str">
        <f>VLOOKUP(E323,ACHATS!$C:$D,2,0)</f>
        <v>DESHERBANT</v>
      </c>
      <c r="H323" s="107">
        <v>0.5</v>
      </c>
      <c r="I323" s="107">
        <f>VLOOKUP(C323,PARCELLAIRE!$D$2:$F$29,3,0)</f>
        <v>8.58</v>
      </c>
      <c r="J323" s="107">
        <f t="shared" si="20"/>
        <v>4.29</v>
      </c>
      <c r="K323" s="107">
        <f>VLOOKUP(E323,'COUT MOYEN'!$B$1:$E$71,4,0)</f>
        <v>1</v>
      </c>
      <c r="L323" s="108">
        <f t="shared" si="19"/>
        <v>4.29</v>
      </c>
      <c r="M323" s="108"/>
      <c r="N323" s="63" t="str">
        <f t="shared" si="21"/>
        <v>Engleyse Route</v>
      </c>
      <c r="O323" s="172">
        <f>SUMPRODUCT(--(PARCELLAIRE!H$2:H$58=UTILISATIONS!N323))</f>
        <v>0</v>
      </c>
    </row>
    <row r="324" spans="1:15">
      <c r="A324" s="105">
        <v>2013</v>
      </c>
      <c r="B324" s="105" t="str">
        <f>INDEX(PARCELLAIRE!$B$2:$B$29,MATCH(UTILISATIONS!C324,PARCELLAIRE!$D$2:$D$29,0))</f>
        <v xml:space="preserve">SOJA </v>
      </c>
      <c r="C324" s="105" t="s">
        <v>173</v>
      </c>
      <c r="D324" s="106">
        <v>41450</v>
      </c>
      <c r="E324" s="105" t="s">
        <v>27</v>
      </c>
      <c r="F324" s="105" t="s">
        <v>69</v>
      </c>
      <c r="G324" s="105" t="str">
        <f>VLOOKUP(E324,ACHATS!$C:$D,2,0)</f>
        <v>DIVERS</v>
      </c>
      <c r="H324" s="107">
        <v>0.4</v>
      </c>
      <c r="I324" s="107">
        <f>VLOOKUP(C324,PARCELLAIRE!$D$2:$F$29,3,0)</f>
        <v>8.58</v>
      </c>
      <c r="J324" s="107">
        <f t="shared" si="20"/>
        <v>3.4320000000000004</v>
      </c>
      <c r="K324" s="107">
        <f>VLOOKUP(E324,'COUT MOYEN'!$B$1:$E$71,4,0)</f>
        <v>0.88</v>
      </c>
      <c r="L324" s="108">
        <f t="shared" si="19"/>
        <v>3.0201600000000002</v>
      </c>
      <c r="M324" s="108"/>
      <c r="N324" s="63" t="str">
        <f t="shared" si="21"/>
        <v>Engleyse Route</v>
      </c>
      <c r="O324" s="172">
        <f>SUMPRODUCT(--(PARCELLAIRE!H$2:H$58=UTILISATIONS!N324))</f>
        <v>0</v>
      </c>
    </row>
    <row r="325" spans="1:15">
      <c r="A325" s="105">
        <v>2013</v>
      </c>
      <c r="B325" s="105" t="str">
        <f>INDEX(PARCELLAIRE!$B$2:$B$29,MATCH(UTILISATIONS!C325,PARCELLAIRE!$D$2:$D$29,0))</f>
        <v xml:space="preserve">SOJA </v>
      </c>
      <c r="C325" s="105" t="s">
        <v>173</v>
      </c>
      <c r="D325" s="106">
        <v>41450</v>
      </c>
      <c r="E325" s="105" t="s">
        <v>25</v>
      </c>
      <c r="F325" s="105" t="s">
        <v>69</v>
      </c>
      <c r="G325" s="105" t="str">
        <f>VLOOKUP(E325,ACHATS!$C:$D,2,0)</f>
        <v>DIVERS</v>
      </c>
      <c r="H325" s="107">
        <v>0.2</v>
      </c>
      <c r="I325" s="107">
        <f>VLOOKUP(C325,PARCELLAIRE!$D$2:$F$29,3,0)</f>
        <v>8.58</v>
      </c>
      <c r="J325" s="107">
        <f t="shared" si="20"/>
        <v>1.7160000000000002</v>
      </c>
      <c r="K325" s="107">
        <f>VLOOKUP(E325,'COUT MOYEN'!$B$1:$E$71,4,0)</f>
        <v>11.01</v>
      </c>
      <c r="L325" s="108">
        <f t="shared" si="19"/>
        <v>18.893160000000002</v>
      </c>
      <c r="M325" s="108"/>
      <c r="N325" s="63" t="str">
        <f t="shared" si="21"/>
        <v>Engleyse Route</v>
      </c>
      <c r="O325" s="172">
        <f>SUMPRODUCT(--(PARCELLAIRE!H$2:H$58=UTILISATIONS!N325))</f>
        <v>0</v>
      </c>
    </row>
    <row r="326" spans="1:15">
      <c r="A326" s="105">
        <v>2013</v>
      </c>
      <c r="B326" s="105" t="str">
        <f>INDEX(PARCELLAIRE!$B$2:$B$29,MATCH(UTILISATIONS!C326,PARCELLAIRE!$D$2:$D$29,0))</f>
        <v>TOURNESOL</v>
      </c>
      <c r="C326" s="105" t="s">
        <v>165</v>
      </c>
      <c r="D326" s="106">
        <v>41451</v>
      </c>
      <c r="E326" s="105" t="s">
        <v>14</v>
      </c>
      <c r="F326" s="105" t="s">
        <v>68</v>
      </c>
      <c r="G326" s="105" t="str">
        <f>VLOOKUP(E326,ACHATS!$C:$D,2,0)</f>
        <v>ENGRAIS</v>
      </c>
      <c r="H326" s="107">
        <v>76</v>
      </c>
      <c r="I326" s="107">
        <f>VLOOKUP(C326,PARCELLAIRE!$D$2:$F$29,3,0)</f>
        <v>5.67</v>
      </c>
      <c r="J326" s="107">
        <f t="shared" si="20"/>
        <v>430.92</v>
      </c>
      <c r="K326" s="107">
        <f>VLOOKUP(E326,'COUT MOYEN'!$B$1:$E$71,4,0)</f>
        <v>0.41883673469387755</v>
      </c>
      <c r="L326" s="108">
        <f t="shared" si="19"/>
        <v>180.48512571428572</v>
      </c>
      <c r="M326" s="108"/>
      <c r="N326" s="63" t="str">
        <f t="shared" si="21"/>
        <v>Moulin Côteau</v>
      </c>
      <c r="O326" s="172">
        <f>SUMPRODUCT(--(PARCELLAIRE!H$2:H$58=UTILISATIONS!N326))</f>
        <v>0</v>
      </c>
    </row>
    <row r="327" spans="1:15">
      <c r="A327" s="105">
        <v>2013</v>
      </c>
      <c r="B327" s="105" t="str">
        <f>INDEX(PARCELLAIRE!$B$2:$B$29,MATCH(UTILISATIONS!C327,PARCELLAIRE!$D$2:$D$29,0))</f>
        <v>TOURNESOL</v>
      </c>
      <c r="C327" s="105" t="s">
        <v>164</v>
      </c>
      <c r="D327" s="106">
        <v>41451</v>
      </c>
      <c r="E327" s="105" t="s">
        <v>14</v>
      </c>
      <c r="F327" s="105" t="s">
        <v>68</v>
      </c>
      <c r="G327" s="105" t="str">
        <f>VLOOKUP(E327,ACHATS!$C:$D,2,0)</f>
        <v>ENGRAIS</v>
      </c>
      <c r="H327" s="107">
        <v>76</v>
      </c>
      <c r="I327" s="107">
        <f>VLOOKUP(C327,PARCELLAIRE!$D$2:$F$29,3,0)</f>
        <v>21.88</v>
      </c>
      <c r="J327" s="107">
        <f t="shared" si="20"/>
        <v>1662.8799999999999</v>
      </c>
      <c r="K327" s="107">
        <f>VLOOKUP(E327,'COUT MOYEN'!$B$1:$E$71,4,0)</f>
        <v>0.41883673469387755</v>
      </c>
      <c r="L327" s="108">
        <f t="shared" si="19"/>
        <v>696.47522938775501</v>
      </c>
      <c r="M327" s="108"/>
      <c r="N327" s="63" t="str">
        <f t="shared" si="21"/>
        <v>Moulin Barthes</v>
      </c>
      <c r="O327" s="172">
        <f>SUMPRODUCT(--(PARCELLAIRE!H$2:H$58=UTILISATIONS!N327))</f>
        <v>0</v>
      </c>
    </row>
    <row r="328" spans="1:15">
      <c r="A328" s="105">
        <v>2013</v>
      </c>
      <c r="B328" s="105" t="str">
        <f>INDEX(PARCELLAIRE!$B$2:$B$29,MATCH(UTILISATIONS!C328,PARCELLAIRE!$D$2:$D$29,0))</f>
        <v>TOURNESOL</v>
      </c>
      <c r="C328" s="105" t="s">
        <v>143</v>
      </c>
      <c r="D328" s="106">
        <v>41451</v>
      </c>
      <c r="E328" s="105" t="s">
        <v>14</v>
      </c>
      <c r="F328" s="105" t="s">
        <v>68</v>
      </c>
      <c r="G328" s="105" t="str">
        <f>VLOOKUP(E328,ACHATS!$C:$D,2,0)</f>
        <v>ENGRAIS</v>
      </c>
      <c r="H328" s="107">
        <v>76</v>
      </c>
      <c r="I328" s="107">
        <f>VLOOKUP(C328,PARCELLAIRE!$D$2:$F$29,3,0)</f>
        <v>5.17</v>
      </c>
      <c r="J328" s="107">
        <f t="shared" si="20"/>
        <v>392.92</v>
      </c>
      <c r="K328" s="107">
        <f>VLOOKUP(E328,'COUT MOYEN'!$B$1:$E$71,4,0)</f>
        <v>0.41883673469387755</v>
      </c>
      <c r="L328" s="108">
        <f t="shared" si="19"/>
        <v>164.56932979591838</v>
      </c>
      <c r="M328" s="108"/>
      <c r="N328" s="63" t="str">
        <f t="shared" si="21"/>
        <v>Andres</v>
      </c>
      <c r="O328" s="172">
        <f>SUMPRODUCT(--(PARCELLAIRE!H$2:H$58=UTILISATIONS!N328))</f>
        <v>0</v>
      </c>
    </row>
    <row r="329" spans="1:15">
      <c r="A329" s="110">
        <v>2013</v>
      </c>
      <c r="B329" s="105" t="str">
        <f>INDEX(PARCELLAIRE!$B$2:$B$29,MATCH(UTILISATIONS!C329,PARCELLAIRE!$D$2:$D$29,0))</f>
        <v>SORGHO</v>
      </c>
      <c r="C329" s="105" t="s">
        <v>149</v>
      </c>
      <c r="D329" s="106">
        <v>41451</v>
      </c>
      <c r="E329" s="105" t="s">
        <v>14</v>
      </c>
      <c r="F329" s="105" t="s">
        <v>68</v>
      </c>
      <c r="G329" s="105" t="str">
        <f>VLOOKUP(E329,ACHATS!$C:$D,2,0)</f>
        <v>ENGRAIS</v>
      </c>
      <c r="H329" s="107">
        <v>82</v>
      </c>
      <c r="I329" s="107">
        <f>VLOOKUP(C329,PARCELLAIRE!$D$2:$F$29,3,0)</f>
        <v>10.93</v>
      </c>
      <c r="J329" s="107">
        <f t="shared" si="20"/>
        <v>896.26</v>
      </c>
      <c r="K329" s="107">
        <f>VLOOKUP(E329,'COUT MOYEN'!$B$1:$E$71,4,0)</f>
        <v>0.41883673469387755</v>
      </c>
      <c r="L329" s="108">
        <f t="shared" si="19"/>
        <v>375.38661183673469</v>
      </c>
      <c r="M329" s="108"/>
      <c r="N329" s="63" t="str">
        <f t="shared" si="21"/>
        <v>Engleyse métairie</v>
      </c>
      <c r="O329" s="172">
        <f>SUMPRODUCT(--(PARCELLAIRE!H$2:H$58=UTILISATIONS!N329))</f>
        <v>0</v>
      </c>
    </row>
    <row r="330" spans="1:15">
      <c r="A330" s="110">
        <v>2013</v>
      </c>
      <c r="B330" s="105" t="str">
        <f>INDEX(PARCELLAIRE!$B$2:$B$29,MATCH(UTILISATIONS!C330,PARCELLAIRE!$D$2:$D$29,0))</f>
        <v>TOURNESOL</v>
      </c>
      <c r="C330" s="105" t="s">
        <v>168</v>
      </c>
      <c r="D330" s="106">
        <v>41456</v>
      </c>
      <c r="E330" s="105" t="s">
        <v>124</v>
      </c>
      <c r="F330" s="105" t="s">
        <v>69</v>
      </c>
      <c r="G330" s="105" t="str">
        <f>VLOOKUP(E330,ACHATS!$C:$D,2,0)</f>
        <v>FONGICIDES</v>
      </c>
      <c r="H330" s="107">
        <v>0.4</v>
      </c>
      <c r="I330" s="107">
        <f>VLOOKUP(C330,PARCELLAIRE!$D$2:$F$29,3,0)</f>
        <v>4.42</v>
      </c>
      <c r="J330" s="107">
        <f t="shared" si="20"/>
        <v>1.768</v>
      </c>
      <c r="K330" s="107">
        <f>VLOOKUP(E330,'COUT MOYEN'!$B$1:$E$71,4,0)</f>
        <v>1</v>
      </c>
      <c r="L330" s="108">
        <f t="shared" si="19"/>
        <v>1.768</v>
      </c>
      <c r="M330" s="108"/>
      <c r="N330" s="63" t="str">
        <f t="shared" si="21"/>
        <v>Picotalène Nord</v>
      </c>
      <c r="O330" s="172">
        <f>SUMPRODUCT(--(PARCELLAIRE!H$2:H$58=UTILISATIONS!N330))</f>
        <v>0</v>
      </c>
    </row>
    <row r="331" spans="1:15">
      <c r="A331" s="110">
        <v>2013</v>
      </c>
      <c r="B331" s="105" t="str">
        <f>INDEX(PARCELLAIRE!$B$2:$B$29,MATCH(UTILISATIONS!C331,PARCELLAIRE!$D$2:$D$29,0))</f>
        <v>TOURNESOL</v>
      </c>
      <c r="C331" s="105" t="s">
        <v>168</v>
      </c>
      <c r="D331" s="106">
        <v>41456</v>
      </c>
      <c r="E331" s="105" t="s">
        <v>25</v>
      </c>
      <c r="F331" s="105" t="s">
        <v>69</v>
      </c>
      <c r="G331" s="105" t="str">
        <f>VLOOKUP(E331,ACHATS!$C:$D,2,0)</f>
        <v>DIVERS</v>
      </c>
      <c r="H331" s="107">
        <v>0.2</v>
      </c>
      <c r="I331" s="107">
        <f>VLOOKUP(C331,PARCELLAIRE!$D$2:$F$29,3,0)</f>
        <v>4.42</v>
      </c>
      <c r="J331" s="107">
        <f t="shared" si="20"/>
        <v>0.88400000000000001</v>
      </c>
      <c r="K331" s="107">
        <f>VLOOKUP(E331,'COUT MOYEN'!$B$1:$E$71,4,0)</f>
        <v>11.01</v>
      </c>
      <c r="L331" s="108">
        <f t="shared" si="19"/>
        <v>9.7328399999999995</v>
      </c>
      <c r="M331" s="108"/>
      <c r="N331" s="63" t="str">
        <f t="shared" si="21"/>
        <v>Picotalène Nord</v>
      </c>
      <c r="O331" s="172">
        <f>SUMPRODUCT(--(PARCELLAIRE!H$2:H$58=UTILISATIONS!N331))</f>
        <v>0</v>
      </c>
    </row>
    <row r="332" spans="1:15" ht="15">
      <c r="A332" s="110">
        <v>2013</v>
      </c>
      <c r="B332" s="105" t="str">
        <f>INDEX(PARCELLAIRE!$B$2:$B$29,MATCH(UTILISATIONS!C332,PARCELLAIRE!$D$2:$D$29,0))</f>
        <v>TOURNESOL</v>
      </c>
      <c r="C332" s="105" t="s">
        <v>168</v>
      </c>
      <c r="D332" s="106">
        <v>41456</v>
      </c>
      <c r="E332" s="114" t="s">
        <v>29</v>
      </c>
      <c r="F332" s="105" t="s">
        <v>69</v>
      </c>
      <c r="G332" s="105" t="str">
        <f>VLOOKUP(E332,ACHATS!$C:$D,2,0)</f>
        <v>DIVERS</v>
      </c>
      <c r="H332" s="107">
        <v>2.7</v>
      </c>
      <c r="I332" s="107">
        <f>VLOOKUP(C332,PARCELLAIRE!$D$2:$F$29,3,0)</f>
        <v>4.42</v>
      </c>
      <c r="J332" s="107">
        <f t="shared" si="20"/>
        <v>11.934000000000001</v>
      </c>
      <c r="K332" s="107">
        <f>VLOOKUP(E332,'COUT MOYEN'!$B$1:$E$71,4,0)</f>
        <v>3.7</v>
      </c>
      <c r="L332" s="108">
        <f t="shared" si="19"/>
        <v>44.155800000000006</v>
      </c>
      <c r="M332" s="108"/>
      <c r="N332" s="63" t="str">
        <f t="shared" si="21"/>
        <v>Picotalène Nord</v>
      </c>
      <c r="O332" s="172">
        <f>SUMPRODUCT(--(PARCELLAIRE!H$2:H$58=UTILISATIONS!N332))</f>
        <v>0</v>
      </c>
    </row>
    <row r="333" spans="1:15">
      <c r="A333" s="110">
        <v>2013</v>
      </c>
      <c r="B333" s="105" t="str">
        <f>INDEX(PARCELLAIRE!$B$2:$B$29,MATCH(UTILISATIONS!C333,PARCELLAIRE!$D$2:$D$29,0))</f>
        <v>TOURNESOL</v>
      </c>
      <c r="C333" s="105" t="s">
        <v>171</v>
      </c>
      <c r="D333" s="106">
        <v>41457</v>
      </c>
      <c r="E333" s="105" t="s">
        <v>124</v>
      </c>
      <c r="F333" s="105" t="s">
        <v>69</v>
      </c>
      <c r="G333" s="105" t="str">
        <f>VLOOKUP(E333,ACHATS!$C:$D,2,0)</f>
        <v>FONGICIDES</v>
      </c>
      <c r="H333" s="107">
        <v>0.4</v>
      </c>
      <c r="I333" s="107">
        <f>VLOOKUP(C333,PARCELLAIRE!$D$2:$F$29,3,0)</f>
        <v>4.12</v>
      </c>
      <c r="J333" s="107">
        <f t="shared" si="20"/>
        <v>1.6480000000000001</v>
      </c>
      <c r="K333" s="107">
        <f>VLOOKUP(E333,'COUT MOYEN'!$B$1:$E$71,4,0)</f>
        <v>1</v>
      </c>
      <c r="L333" s="108">
        <f t="shared" si="19"/>
        <v>1.6480000000000001</v>
      </c>
      <c r="M333" s="108"/>
      <c r="N333" s="63" t="str">
        <f t="shared" si="21"/>
        <v>Picotalène Midi</v>
      </c>
      <c r="O333" s="172">
        <f>SUMPRODUCT(--(PARCELLAIRE!H$2:H$58=UTILISATIONS!N333))</f>
        <v>0</v>
      </c>
    </row>
    <row r="334" spans="1:15">
      <c r="A334" s="110">
        <v>2013</v>
      </c>
      <c r="B334" s="105" t="str">
        <f>INDEX(PARCELLAIRE!$B$2:$B$29,MATCH(UTILISATIONS!C334,PARCELLAIRE!$D$2:$D$29,0))</f>
        <v>TOURNESOL</v>
      </c>
      <c r="C334" s="105" t="s">
        <v>171</v>
      </c>
      <c r="D334" s="106">
        <v>41457</v>
      </c>
      <c r="E334" s="105" t="s">
        <v>25</v>
      </c>
      <c r="F334" s="105" t="s">
        <v>69</v>
      </c>
      <c r="G334" s="105" t="str">
        <f>VLOOKUP(E334,ACHATS!$C:$D,2,0)</f>
        <v>DIVERS</v>
      </c>
      <c r="H334" s="107">
        <v>0.2</v>
      </c>
      <c r="I334" s="107">
        <f>VLOOKUP(C334,PARCELLAIRE!$D$2:$F$29,3,0)</f>
        <v>4.12</v>
      </c>
      <c r="J334" s="107">
        <f t="shared" si="20"/>
        <v>0.82400000000000007</v>
      </c>
      <c r="K334" s="107">
        <f>VLOOKUP(E334,'COUT MOYEN'!$B$1:$E$71,4,0)</f>
        <v>11.01</v>
      </c>
      <c r="L334" s="108">
        <f t="shared" si="19"/>
        <v>9.0722400000000007</v>
      </c>
      <c r="M334" s="108"/>
      <c r="N334" s="63" t="str">
        <f t="shared" si="21"/>
        <v>Picotalène Midi</v>
      </c>
      <c r="O334" s="172">
        <f>SUMPRODUCT(--(PARCELLAIRE!H$2:H$58=UTILISATIONS!N334))</f>
        <v>0</v>
      </c>
    </row>
    <row r="335" spans="1:15" ht="15">
      <c r="A335" s="110">
        <v>2013</v>
      </c>
      <c r="B335" s="105" t="str">
        <f>INDEX(PARCELLAIRE!$B$2:$B$29,MATCH(UTILISATIONS!C335,PARCELLAIRE!$D$2:$D$29,0))</f>
        <v>TOURNESOL</v>
      </c>
      <c r="C335" s="105" t="s">
        <v>171</v>
      </c>
      <c r="D335" s="106">
        <v>41457</v>
      </c>
      <c r="E335" s="114" t="s">
        <v>29</v>
      </c>
      <c r="F335" s="105" t="s">
        <v>69</v>
      </c>
      <c r="G335" s="105" t="str">
        <f>VLOOKUP(E335,ACHATS!$C:$D,2,0)</f>
        <v>DIVERS</v>
      </c>
      <c r="H335" s="107">
        <v>2.7</v>
      </c>
      <c r="I335" s="107">
        <f>VLOOKUP(C335,PARCELLAIRE!$D$2:$F$29,3,0)</f>
        <v>4.12</v>
      </c>
      <c r="J335" s="107">
        <f t="shared" si="20"/>
        <v>11.124000000000001</v>
      </c>
      <c r="K335" s="107">
        <f>VLOOKUP(E335,'COUT MOYEN'!$B$1:$E$71,4,0)</f>
        <v>3.7</v>
      </c>
      <c r="L335" s="108">
        <f t="shared" si="19"/>
        <v>41.158800000000006</v>
      </c>
      <c r="M335" s="108"/>
      <c r="N335" s="63" t="str">
        <f t="shared" si="21"/>
        <v>Picotalène Midi</v>
      </c>
      <c r="O335" s="172">
        <f>SUMPRODUCT(--(PARCELLAIRE!H$2:H$58=UTILISATIONS!N335))</f>
        <v>0</v>
      </c>
    </row>
    <row r="336" spans="1:15">
      <c r="A336" s="110">
        <v>2013</v>
      </c>
      <c r="B336" s="105" t="str">
        <f>INDEX(PARCELLAIRE!$B$2:$B$29,MATCH(UTILISATIONS!C336,PARCELLAIRE!$D$2:$D$29,0))</f>
        <v>TOURNESOL</v>
      </c>
      <c r="C336" s="105" t="s">
        <v>175</v>
      </c>
      <c r="D336" s="106">
        <v>41457</v>
      </c>
      <c r="E336" s="105" t="s">
        <v>124</v>
      </c>
      <c r="F336" s="105" t="s">
        <v>69</v>
      </c>
      <c r="G336" s="105" t="str">
        <f>VLOOKUP(E336,ACHATS!$C:$D,2,0)</f>
        <v>FONGICIDES</v>
      </c>
      <c r="H336" s="107">
        <v>0.4</v>
      </c>
      <c r="I336" s="107">
        <f>VLOOKUP(C336,PARCELLAIRE!$D$2:$F$29,3,0)</f>
        <v>2.33</v>
      </c>
      <c r="J336" s="107">
        <f t="shared" si="20"/>
        <v>0.93200000000000005</v>
      </c>
      <c r="K336" s="107">
        <f>VLOOKUP(E336,'COUT MOYEN'!$B$1:$E$71,4,0)</f>
        <v>1</v>
      </c>
      <c r="L336" s="108">
        <f t="shared" si="19"/>
        <v>0.93200000000000005</v>
      </c>
      <c r="M336" s="108"/>
      <c r="N336" s="63" t="str">
        <f t="shared" si="21"/>
        <v>Bousquet Pourtanel</v>
      </c>
      <c r="O336" s="172">
        <f>SUMPRODUCT(--(PARCELLAIRE!H$2:H$58=UTILISATIONS!N336))</f>
        <v>0</v>
      </c>
    </row>
    <row r="337" spans="1:15">
      <c r="A337" s="110">
        <v>2013</v>
      </c>
      <c r="B337" s="105" t="str">
        <f>INDEX(PARCELLAIRE!$B$2:$B$29,MATCH(UTILISATIONS!C337,PARCELLAIRE!$D$2:$D$29,0))</f>
        <v>TOURNESOL</v>
      </c>
      <c r="C337" s="105" t="s">
        <v>175</v>
      </c>
      <c r="D337" s="106">
        <v>41457</v>
      </c>
      <c r="E337" s="105" t="s">
        <v>25</v>
      </c>
      <c r="F337" s="105" t="s">
        <v>69</v>
      </c>
      <c r="G337" s="105" t="str">
        <f>VLOOKUP(E337,ACHATS!$C:$D,2,0)</f>
        <v>DIVERS</v>
      </c>
      <c r="H337" s="107">
        <v>0.2</v>
      </c>
      <c r="I337" s="107">
        <f>VLOOKUP(C337,PARCELLAIRE!$D$2:$F$29,3,0)</f>
        <v>2.33</v>
      </c>
      <c r="J337" s="107">
        <f t="shared" si="20"/>
        <v>0.46600000000000003</v>
      </c>
      <c r="K337" s="107">
        <f>VLOOKUP(E337,'COUT MOYEN'!$B$1:$E$71,4,0)</f>
        <v>11.01</v>
      </c>
      <c r="L337" s="108">
        <f t="shared" ref="L337:L363" si="22">K337*J337</f>
        <v>5.1306599999999998</v>
      </c>
      <c r="M337" s="108"/>
      <c r="N337" s="63" t="str">
        <f t="shared" si="21"/>
        <v>Bousquet Pourtanel</v>
      </c>
      <c r="O337" s="172">
        <f>SUMPRODUCT(--(PARCELLAIRE!H$2:H$58=UTILISATIONS!N337))</f>
        <v>0</v>
      </c>
    </row>
    <row r="338" spans="1:15" ht="15">
      <c r="A338" s="110">
        <v>2013</v>
      </c>
      <c r="B338" s="105" t="str">
        <f>INDEX(PARCELLAIRE!$B$2:$B$29,MATCH(UTILISATIONS!C338,PARCELLAIRE!$D$2:$D$29,0))</f>
        <v>TOURNESOL</v>
      </c>
      <c r="C338" s="105" t="s">
        <v>175</v>
      </c>
      <c r="D338" s="106">
        <v>41457</v>
      </c>
      <c r="E338" s="114" t="s">
        <v>29</v>
      </c>
      <c r="F338" s="105" t="s">
        <v>69</v>
      </c>
      <c r="G338" s="105" t="str">
        <f>VLOOKUP(E338,ACHATS!$C:$D,2,0)</f>
        <v>DIVERS</v>
      </c>
      <c r="H338" s="107">
        <v>2.7</v>
      </c>
      <c r="I338" s="107">
        <f>VLOOKUP(C338,PARCELLAIRE!$D$2:$F$29,3,0)</f>
        <v>2.33</v>
      </c>
      <c r="J338" s="107">
        <f t="shared" si="20"/>
        <v>6.2910000000000004</v>
      </c>
      <c r="K338" s="107">
        <f>VLOOKUP(E338,'COUT MOYEN'!$B$1:$E$71,4,0)</f>
        <v>3.7</v>
      </c>
      <c r="L338" s="108">
        <f t="shared" si="22"/>
        <v>23.276700000000002</v>
      </c>
      <c r="M338" s="108"/>
      <c r="N338" s="63" t="str">
        <f t="shared" si="21"/>
        <v>Bousquet Pourtanel</v>
      </c>
      <c r="O338" s="172">
        <f>SUMPRODUCT(--(PARCELLAIRE!H$2:H$58=UTILISATIONS!N338))</f>
        <v>0</v>
      </c>
    </row>
    <row r="339" spans="1:15">
      <c r="A339" s="110">
        <v>2013</v>
      </c>
      <c r="B339" s="105" t="str">
        <f>INDEX(PARCELLAIRE!$B$2:$B$29,MATCH(UTILISATIONS!C339,PARCELLAIRE!$D$2:$D$29,0))</f>
        <v>TOURNESOL</v>
      </c>
      <c r="C339" s="105" t="s">
        <v>169</v>
      </c>
      <c r="D339" s="106">
        <v>41457</v>
      </c>
      <c r="E339" s="105" t="s">
        <v>124</v>
      </c>
      <c r="F339" s="105" t="s">
        <v>69</v>
      </c>
      <c r="G339" s="105" t="str">
        <f>VLOOKUP(E339,ACHATS!$C:$D,2,0)</f>
        <v>FONGICIDES</v>
      </c>
      <c r="H339" s="107">
        <v>0.4</v>
      </c>
      <c r="I339" s="107">
        <f>VLOOKUP(C339,PARCELLAIRE!$D$2:$F$29,3,0)</f>
        <v>12.06</v>
      </c>
      <c r="J339" s="107">
        <f t="shared" si="20"/>
        <v>4.8240000000000007</v>
      </c>
      <c r="K339" s="107">
        <f>VLOOKUP(E339,'COUT MOYEN'!$B$1:$E$71,4,0)</f>
        <v>1</v>
      </c>
      <c r="L339" s="108">
        <f t="shared" si="22"/>
        <v>4.8240000000000007</v>
      </c>
      <c r="M339" s="108"/>
      <c r="N339" s="63" t="str">
        <f t="shared" si="21"/>
        <v>Pourtanel</v>
      </c>
      <c r="O339" s="172">
        <f>SUMPRODUCT(--(PARCELLAIRE!H$2:H$58=UTILISATIONS!N339))</f>
        <v>0</v>
      </c>
    </row>
    <row r="340" spans="1:15">
      <c r="A340" s="110">
        <v>2013</v>
      </c>
      <c r="B340" s="105" t="str">
        <f>INDEX(PARCELLAIRE!$B$2:$B$29,MATCH(UTILISATIONS!C340,PARCELLAIRE!$D$2:$D$29,0))</f>
        <v>TOURNESOL</v>
      </c>
      <c r="C340" s="105" t="s">
        <v>169</v>
      </c>
      <c r="D340" s="106">
        <v>41457</v>
      </c>
      <c r="E340" s="105" t="s">
        <v>25</v>
      </c>
      <c r="F340" s="105" t="s">
        <v>69</v>
      </c>
      <c r="G340" s="105" t="str">
        <f>VLOOKUP(E340,ACHATS!$C:$D,2,0)</f>
        <v>DIVERS</v>
      </c>
      <c r="H340" s="107">
        <v>0.2</v>
      </c>
      <c r="I340" s="107">
        <f>VLOOKUP(C340,PARCELLAIRE!$D$2:$F$29,3,0)</f>
        <v>12.06</v>
      </c>
      <c r="J340" s="107">
        <f t="shared" si="20"/>
        <v>2.4120000000000004</v>
      </c>
      <c r="K340" s="107">
        <f>VLOOKUP(E340,'COUT MOYEN'!$B$1:$E$71,4,0)</f>
        <v>11.01</v>
      </c>
      <c r="L340" s="108">
        <f t="shared" si="22"/>
        <v>26.556120000000004</v>
      </c>
      <c r="M340" s="108"/>
      <c r="N340" s="63" t="str">
        <f t="shared" si="21"/>
        <v>Pourtanel</v>
      </c>
      <c r="O340" s="172">
        <f>SUMPRODUCT(--(PARCELLAIRE!H$2:H$58=UTILISATIONS!N340))</f>
        <v>0</v>
      </c>
    </row>
    <row r="341" spans="1:15" ht="15">
      <c r="A341" s="110">
        <v>2013</v>
      </c>
      <c r="B341" s="105" t="str">
        <f>INDEX(PARCELLAIRE!$B$2:$B$29,MATCH(UTILISATIONS!C341,PARCELLAIRE!$D$2:$D$29,0))</f>
        <v>TOURNESOL</v>
      </c>
      <c r="C341" s="105" t="s">
        <v>169</v>
      </c>
      <c r="D341" s="106">
        <v>41457</v>
      </c>
      <c r="E341" s="114" t="s">
        <v>29</v>
      </c>
      <c r="F341" s="105" t="s">
        <v>69</v>
      </c>
      <c r="G341" s="105" t="str">
        <f>VLOOKUP(E341,ACHATS!$C:$D,2,0)</f>
        <v>DIVERS</v>
      </c>
      <c r="H341" s="107">
        <v>2.7</v>
      </c>
      <c r="I341" s="107">
        <f>VLOOKUP(C341,PARCELLAIRE!$D$2:$F$29,3,0)</f>
        <v>12.06</v>
      </c>
      <c r="J341" s="107">
        <f t="shared" si="20"/>
        <v>32.562000000000005</v>
      </c>
      <c r="K341" s="107">
        <f>VLOOKUP(E341,'COUT MOYEN'!$B$1:$E$71,4,0)</f>
        <v>3.7</v>
      </c>
      <c r="L341" s="108">
        <f t="shared" si="22"/>
        <v>120.47940000000003</v>
      </c>
      <c r="M341" s="108"/>
      <c r="N341" s="63" t="str">
        <f t="shared" si="21"/>
        <v>Pourtanel</v>
      </c>
      <c r="O341" s="172">
        <f>SUMPRODUCT(--(PARCELLAIRE!H$2:H$58=UTILISATIONS!N341))</f>
        <v>0</v>
      </c>
    </row>
    <row r="342" spans="1:15">
      <c r="A342" s="110">
        <v>2013</v>
      </c>
      <c r="B342" s="105" t="str">
        <f>INDEX(PARCELLAIRE!$B$2:$B$29,MATCH(UTILISATIONS!C342,PARCELLAIRE!$D$2:$D$29,0))</f>
        <v>TOURNESOL</v>
      </c>
      <c r="C342" s="105" t="s">
        <v>164</v>
      </c>
      <c r="D342" s="106">
        <v>41457</v>
      </c>
      <c r="E342" s="105" t="s">
        <v>124</v>
      </c>
      <c r="F342" s="105" t="s">
        <v>69</v>
      </c>
      <c r="G342" s="105" t="str">
        <f>VLOOKUP(E342,ACHATS!$C:$D,2,0)</f>
        <v>FONGICIDES</v>
      </c>
      <c r="H342" s="107">
        <v>0.4</v>
      </c>
      <c r="I342" s="107">
        <f>VLOOKUP(C342,PARCELLAIRE!$D$2:$F$29,3,0)</f>
        <v>21.88</v>
      </c>
      <c r="J342" s="107">
        <f t="shared" si="20"/>
        <v>8.7520000000000007</v>
      </c>
      <c r="K342" s="107">
        <f>VLOOKUP(E342,'COUT MOYEN'!$B$1:$E$71,4,0)</f>
        <v>1</v>
      </c>
      <c r="L342" s="108">
        <f t="shared" si="22"/>
        <v>8.7520000000000007</v>
      </c>
      <c r="M342" s="108"/>
      <c r="N342" s="63" t="str">
        <f t="shared" si="21"/>
        <v>Moulin Barthes</v>
      </c>
      <c r="O342" s="172">
        <f>SUMPRODUCT(--(PARCELLAIRE!H$2:H$58=UTILISATIONS!N342))</f>
        <v>0</v>
      </c>
    </row>
    <row r="343" spans="1:15">
      <c r="A343" s="110">
        <v>2013</v>
      </c>
      <c r="B343" s="105" t="str">
        <f>INDEX(PARCELLAIRE!$B$2:$B$29,MATCH(UTILISATIONS!C343,PARCELLAIRE!$D$2:$D$29,0))</f>
        <v>TOURNESOL</v>
      </c>
      <c r="C343" s="105" t="s">
        <v>164</v>
      </c>
      <c r="D343" s="106">
        <v>41457</v>
      </c>
      <c r="E343" s="105" t="s">
        <v>25</v>
      </c>
      <c r="F343" s="105" t="s">
        <v>69</v>
      </c>
      <c r="G343" s="105" t="str">
        <f>VLOOKUP(E343,ACHATS!$C:$D,2,0)</f>
        <v>DIVERS</v>
      </c>
      <c r="H343" s="107">
        <v>0.2</v>
      </c>
      <c r="I343" s="107">
        <f>VLOOKUP(C343,PARCELLAIRE!$D$2:$F$29,3,0)</f>
        <v>21.88</v>
      </c>
      <c r="J343" s="107">
        <f t="shared" si="20"/>
        <v>4.3760000000000003</v>
      </c>
      <c r="K343" s="107">
        <f>VLOOKUP(E343,'COUT MOYEN'!$B$1:$E$71,4,0)</f>
        <v>11.01</v>
      </c>
      <c r="L343" s="108">
        <f t="shared" si="22"/>
        <v>48.179760000000002</v>
      </c>
      <c r="M343" s="108"/>
      <c r="N343" s="63" t="str">
        <f t="shared" si="21"/>
        <v>Moulin Barthes</v>
      </c>
      <c r="O343" s="172">
        <f>SUMPRODUCT(--(PARCELLAIRE!H$2:H$58=UTILISATIONS!N343))</f>
        <v>0</v>
      </c>
    </row>
    <row r="344" spans="1:15" ht="15">
      <c r="A344" s="110">
        <v>2013</v>
      </c>
      <c r="B344" s="105" t="str">
        <f>INDEX(PARCELLAIRE!$B$2:$B$29,MATCH(UTILISATIONS!C344,PARCELLAIRE!$D$2:$D$29,0))</f>
        <v>TOURNESOL</v>
      </c>
      <c r="C344" s="105" t="s">
        <v>164</v>
      </c>
      <c r="D344" s="106">
        <v>41457</v>
      </c>
      <c r="E344" s="114" t="s">
        <v>29</v>
      </c>
      <c r="F344" s="105" t="s">
        <v>69</v>
      </c>
      <c r="G344" s="105" t="str">
        <f>VLOOKUP(E344,ACHATS!$C:$D,2,0)</f>
        <v>DIVERS</v>
      </c>
      <c r="H344" s="107">
        <v>2.7</v>
      </c>
      <c r="I344" s="107">
        <f>VLOOKUP(C344,PARCELLAIRE!$D$2:$F$29,3,0)</f>
        <v>21.88</v>
      </c>
      <c r="J344" s="107">
        <f t="shared" si="20"/>
        <v>59.076000000000001</v>
      </c>
      <c r="K344" s="107">
        <f>VLOOKUP(E344,'COUT MOYEN'!$B$1:$E$71,4,0)</f>
        <v>3.7</v>
      </c>
      <c r="L344" s="108">
        <f t="shared" si="22"/>
        <v>218.58120000000002</v>
      </c>
      <c r="M344" s="108"/>
      <c r="N344" s="63" t="str">
        <f t="shared" si="21"/>
        <v>Moulin Barthes</v>
      </c>
      <c r="O344" s="172">
        <f>SUMPRODUCT(--(PARCELLAIRE!H$2:H$58=UTILISATIONS!N344))</f>
        <v>0</v>
      </c>
    </row>
    <row r="345" spans="1:15">
      <c r="A345" s="110">
        <v>2013</v>
      </c>
      <c r="B345" s="105" t="str">
        <f>INDEX(PARCELLAIRE!$B$2:$B$29,MATCH(UTILISATIONS!C345,PARCELLAIRE!$D$2:$D$29,0))</f>
        <v>SORGHO</v>
      </c>
      <c r="C345" s="105" t="s">
        <v>149</v>
      </c>
      <c r="D345" s="106">
        <v>41457</v>
      </c>
      <c r="E345" s="105" t="s">
        <v>14</v>
      </c>
      <c r="F345" s="105" t="s">
        <v>68</v>
      </c>
      <c r="G345" s="105" t="str">
        <f>VLOOKUP(E345,ACHATS!$C:$D,2,0)</f>
        <v>ENGRAIS</v>
      </c>
      <c r="H345" s="107">
        <v>182</v>
      </c>
      <c r="I345" s="107">
        <f>VLOOKUP(C345,PARCELLAIRE!$D$2:$F$29,3,0)</f>
        <v>10.93</v>
      </c>
      <c r="J345" s="107">
        <f t="shared" si="20"/>
        <v>1989.26</v>
      </c>
      <c r="K345" s="107">
        <f>VLOOKUP(E345,'COUT MOYEN'!$B$1:$E$71,4,0)</f>
        <v>0.41883673469387755</v>
      </c>
      <c r="L345" s="108">
        <f t="shared" si="22"/>
        <v>833.17516285714282</v>
      </c>
      <c r="M345" s="108"/>
      <c r="N345" s="63" t="str">
        <f t="shared" si="21"/>
        <v>Engleyse métairie</v>
      </c>
      <c r="O345" s="172">
        <f>SUMPRODUCT(--(PARCELLAIRE!H$2:H$58=UTILISATIONS!N345))</f>
        <v>0</v>
      </c>
    </row>
    <row r="346" spans="1:15">
      <c r="A346" s="110">
        <v>2013</v>
      </c>
      <c r="B346" s="105" t="str">
        <f>INDEX(PARCELLAIRE!$B$2:$B$29,MATCH(UTILISATIONS!C346,PARCELLAIRE!$D$2:$D$29,0))</f>
        <v xml:space="preserve">SOJA </v>
      </c>
      <c r="C346" s="105" t="s">
        <v>173</v>
      </c>
      <c r="D346" s="106">
        <v>41459</v>
      </c>
      <c r="E346" s="105" t="s">
        <v>123</v>
      </c>
      <c r="F346" s="105" t="s">
        <v>69</v>
      </c>
      <c r="G346" s="105" t="str">
        <f>VLOOKUP(E346,ACHATS!$C:$D,2,0)</f>
        <v>DESHERBANT</v>
      </c>
      <c r="H346" s="107">
        <v>0.5</v>
      </c>
      <c r="I346" s="107">
        <f>VLOOKUP(C346,PARCELLAIRE!$D$2:$F$29,3,0)</f>
        <v>8.58</v>
      </c>
      <c r="J346" s="107">
        <f t="shared" si="20"/>
        <v>4.29</v>
      </c>
      <c r="K346" s="107">
        <f>VLOOKUP(E346,'COUT MOYEN'!$B$1:$E$71,4,0)</f>
        <v>1</v>
      </c>
      <c r="L346" s="108">
        <f t="shared" si="22"/>
        <v>4.29</v>
      </c>
      <c r="M346" s="108"/>
      <c r="N346" s="63" t="str">
        <f t="shared" si="21"/>
        <v>Engleyse Route</v>
      </c>
      <c r="O346" s="172">
        <f>SUMPRODUCT(--(PARCELLAIRE!H$2:H$58=UTILISATIONS!N346))</f>
        <v>0</v>
      </c>
    </row>
    <row r="347" spans="1:15">
      <c r="A347" s="110">
        <v>2013</v>
      </c>
      <c r="B347" s="105" t="str">
        <f>INDEX(PARCELLAIRE!$B$2:$B$29,MATCH(UTILISATIONS!C347,PARCELLAIRE!$D$2:$D$29,0))</f>
        <v xml:space="preserve">SOJA </v>
      </c>
      <c r="C347" s="105" t="s">
        <v>173</v>
      </c>
      <c r="D347" s="106">
        <v>41459</v>
      </c>
      <c r="E347" s="105" t="s">
        <v>25</v>
      </c>
      <c r="F347" s="105" t="s">
        <v>69</v>
      </c>
      <c r="G347" s="105" t="str">
        <f>VLOOKUP(E347,ACHATS!$C:$D,2,0)</f>
        <v>DIVERS</v>
      </c>
      <c r="H347" s="107">
        <v>0.2</v>
      </c>
      <c r="I347" s="107">
        <f>VLOOKUP(C347,PARCELLAIRE!$D$2:$F$29,3,0)</f>
        <v>8.58</v>
      </c>
      <c r="J347" s="107">
        <f t="shared" si="20"/>
        <v>1.7160000000000002</v>
      </c>
      <c r="K347" s="107">
        <f>VLOOKUP(E347,'COUT MOYEN'!$B$1:$E$71,4,0)</f>
        <v>11.01</v>
      </c>
      <c r="L347" s="108">
        <f t="shared" si="22"/>
        <v>18.893160000000002</v>
      </c>
      <c r="M347" s="108"/>
      <c r="N347" s="63" t="str">
        <f t="shared" si="21"/>
        <v>Engleyse Route</v>
      </c>
      <c r="O347" s="172">
        <f>SUMPRODUCT(--(PARCELLAIRE!H$2:H$58=UTILISATIONS!N347))</f>
        <v>0</v>
      </c>
    </row>
    <row r="348" spans="1:15" ht="15">
      <c r="A348" s="110">
        <v>2013</v>
      </c>
      <c r="B348" s="105" t="str">
        <f>INDEX(PARCELLAIRE!$B$2:$B$29,MATCH(UTILISATIONS!C348,PARCELLAIRE!$D$2:$D$29,0))</f>
        <v xml:space="preserve">SOJA </v>
      </c>
      <c r="C348" s="105" t="s">
        <v>173</v>
      </c>
      <c r="D348" s="106">
        <v>41459</v>
      </c>
      <c r="E348" s="116" t="s">
        <v>27</v>
      </c>
      <c r="F348" s="105" t="s">
        <v>69</v>
      </c>
      <c r="G348" s="105" t="str">
        <f>VLOOKUP(E348,ACHATS!$C:$D,2,0)</f>
        <v>DIVERS</v>
      </c>
      <c r="H348" s="107">
        <v>0.4</v>
      </c>
      <c r="I348" s="107">
        <f>VLOOKUP(C348,PARCELLAIRE!$D$2:$F$29,3,0)</f>
        <v>8.58</v>
      </c>
      <c r="J348" s="107">
        <f t="shared" si="20"/>
        <v>3.4320000000000004</v>
      </c>
      <c r="K348" s="107">
        <f>VLOOKUP(E348,'COUT MOYEN'!$B$1:$E$71,4,0)</f>
        <v>0.88</v>
      </c>
      <c r="L348" s="108">
        <f t="shared" si="22"/>
        <v>3.0201600000000002</v>
      </c>
      <c r="M348" s="108"/>
      <c r="N348" s="63" t="str">
        <f t="shared" si="21"/>
        <v>Engleyse Route</v>
      </c>
      <c r="O348" s="172">
        <f>SUMPRODUCT(--(PARCELLAIRE!H$2:H$58=UTILISATIONS!N348))</f>
        <v>0</v>
      </c>
    </row>
    <row r="349" spans="1:15">
      <c r="A349" s="105">
        <v>2013</v>
      </c>
      <c r="B349" s="105" t="str">
        <f>INDEX(PARCELLAIRE!$B$2:$B$29,MATCH(UTILISATIONS!C349,PARCELLAIRE!$D$2:$D$29,0))</f>
        <v>SORGHO</v>
      </c>
      <c r="C349" s="105" t="s">
        <v>149</v>
      </c>
      <c r="D349" s="106">
        <v>41479</v>
      </c>
      <c r="E349" s="105" t="s">
        <v>134</v>
      </c>
      <c r="F349" s="105" t="s">
        <v>135</v>
      </c>
      <c r="G349" s="105" t="str">
        <f>VLOOKUP(E349,ACHATS!$C:$D,2,0)</f>
        <v>IRRIGATION</v>
      </c>
      <c r="H349" s="107">
        <v>30</v>
      </c>
      <c r="I349" s="107">
        <f>VLOOKUP(C349,PARCELLAIRE!$D$2:$F$29,3,0)</f>
        <v>10.93</v>
      </c>
      <c r="J349" s="107">
        <f t="shared" si="20"/>
        <v>327.9</v>
      </c>
      <c r="K349" s="107">
        <f>VLOOKUP(E349,'COUT MOYEN'!$B$1:$E$71,4,0)</f>
        <v>1</v>
      </c>
      <c r="L349" s="108">
        <f t="shared" si="22"/>
        <v>327.9</v>
      </c>
      <c r="M349" s="108"/>
      <c r="N349" s="63" t="str">
        <f t="shared" si="21"/>
        <v>Engleyse métairie</v>
      </c>
      <c r="O349" s="172">
        <f>SUMPRODUCT(--(PARCELLAIRE!H$2:H$58=UTILISATIONS!N349))</f>
        <v>0</v>
      </c>
    </row>
    <row r="350" spans="1:15" ht="15">
      <c r="A350" s="105">
        <v>2013</v>
      </c>
      <c r="B350" s="105" t="str">
        <f>INDEX(PARCELLAIRE!$B$2:$B$29,MATCH(UTILISATIONS!C350,PARCELLAIRE!$D$2:$D$29,0))</f>
        <v xml:space="preserve">BLE DUR </v>
      </c>
      <c r="C350" s="105" t="s">
        <v>174</v>
      </c>
      <c r="D350" s="106">
        <v>41479</v>
      </c>
      <c r="E350" s="116" t="s">
        <v>186</v>
      </c>
      <c r="F350" s="105" t="s">
        <v>187</v>
      </c>
      <c r="G350" s="105" t="str">
        <f>VLOOKUP(E350,ACHATS!$C:$D,2,0)</f>
        <v>RECOLTE</v>
      </c>
      <c r="H350" s="107">
        <f>724/12.49</f>
        <v>57.966373098478783</v>
      </c>
      <c r="I350" s="107">
        <f>VLOOKUP(C350,PARCELLAIRE!$D$2:$F$29,3,0)</f>
        <v>12.49</v>
      </c>
      <c r="J350" s="107">
        <f t="shared" si="20"/>
        <v>724</v>
      </c>
      <c r="K350" s="107">
        <f>VLOOKUP(E350,'COUT MOYEN'!$B$1:$E$71,4,0)</f>
        <v>1</v>
      </c>
      <c r="L350" s="108">
        <f t="shared" si="22"/>
        <v>724</v>
      </c>
      <c r="M350" s="108"/>
      <c r="N350" s="63" t="str">
        <f t="shared" si="21"/>
        <v>Engleyse Bousquet</v>
      </c>
      <c r="O350" s="172">
        <f>SUMPRODUCT(--(PARCELLAIRE!H$2:H$58=UTILISATIONS!N350))</f>
        <v>0</v>
      </c>
    </row>
    <row r="351" spans="1:15" ht="15">
      <c r="A351" s="105">
        <v>2013</v>
      </c>
      <c r="B351" s="105" t="str">
        <f>INDEX(PARCELLAIRE!$B$2:$B$29,MATCH(UTILISATIONS!C351,PARCELLAIRE!$D$2:$D$29,0))</f>
        <v xml:space="preserve">BLE DUR </v>
      </c>
      <c r="C351" s="105" t="s">
        <v>147</v>
      </c>
      <c r="D351" s="106">
        <v>41479</v>
      </c>
      <c r="E351" s="116" t="s">
        <v>186</v>
      </c>
      <c r="F351" s="105" t="s">
        <v>187</v>
      </c>
      <c r="G351" s="105" t="str">
        <f>VLOOKUP(E351,ACHATS!$C:$D,2,0)</f>
        <v>RECOLTE</v>
      </c>
      <c r="H351" s="107">
        <f>271/5.67</f>
        <v>47.795414462081126</v>
      </c>
      <c r="I351" s="107">
        <f>VLOOKUP(C351,PARCELLAIRE!$D$2:$F$29,3,0)</f>
        <v>5.67</v>
      </c>
      <c r="J351" s="107">
        <f t="shared" si="20"/>
        <v>271</v>
      </c>
      <c r="K351" s="107">
        <f>VLOOKUP(E351,'COUT MOYEN'!$B$1:$E$71,4,0)</f>
        <v>1</v>
      </c>
      <c r="L351" s="108">
        <f t="shared" si="22"/>
        <v>271</v>
      </c>
      <c r="M351" s="108"/>
      <c r="N351" s="63" t="str">
        <f t="shared" si="21"/>
        <v>Bousquet Route</v>
      </c>
      <c r="O351" s="172">
        <f>SUMPRODUCT(--(PARCELLAIRE!H$2:H$58=UTILISATIONS!N351))</f>
        <v>0</v>
      </c>
    </row>
    <row r="352" spans="1:15" ht="15">
      <c r="A352" s="105">
        <v>2013</v>
      </c>
      <c r="B352" s="105" t="str">
        <f>INDEX(PARCELLAIRE!$B$2:$B$29,MATCH(UTILISATIONS!C352,PARCELLAIRE!$D$2:$D$29,0))</f>
        <v xml:space="preserve">BLE DUR </v>
      </c>
      <c r="C352" s="105" t="s">
        <v>144</v>
      </c>
      <c r="D352" s="106">
        <v>41479</v>
      </c>
      <c r="E352" s="116" t="s">
        <v>186</v>
      </c>
      <c r="F352" s="105" t="s">
        <v>187</v>
      </c>
      <c r="G352" s="105" t="str">
        <f>VLOOKUP(E352,ACHATS!$C:$D,2,0)</f>
        <v>RECOLTE</v>
      </c>
      <c r="H352" s="107">
        <f>75/5.27</f>
        <v>14.231499051233397</v>
      </c>
      <c r="I352" s="107">
        <f>VLOOKUP(C352,PARCELLAIRE!$D$2:$F$29,3,0)</f>
        <v>5.27</v>
      </c>
      <c r="J352" s="107">
        <f t="shared" si="20"/>
        <v>75</v>
      </c>
      <c r="K352" s="107">
        <f>VLOOKUP(E352,'COUT MOYEN'!$B$1:$E$71,4,0)</f>
        <v>1</v>
      </c>
      <c r="L352" s="108">
        <f t="shared" si="22"/>
        <v>75</v>
      </c>
      <c r="M352" s="108"/>
      <c r="N352" s="63" t="str">
        <f t="shared" si="21"/>
        <v>Bousquet Château</v>
      </c>
      <c r="O352" s="172">
        <f>SUMPRODUCT(--(PARCELLAIRE!H$2:H$58=UTILISATIONS!N352))</f>
        <v>0</v>
      </c>
    </row>
    <row r="353" spans="1:15" ht="15">
      <c r="A353" s="105">
        <v>2013</v>
      </c>
      <c r="B353" s="105" t="str">
        <f>INDEX(PARCELLAIRE!$B$2:$B$29,MATCH(UTILISATIONS!C353,PARCELLAIRE!$D$2:$D$29,0))</f>
        <v xml:space="preserve">BLE DUR </v>
      </c>
      <c r="C353" s="105" t="s">
        <v>172</v>
      </c>
      <c r="D353" s="106">
        <v>41479</v>
      </c>
      <c r="E353" s="116" t="s">
        <v>186</v>
      </c>
      <c r="F353" s="105" t="s">
        <v>187</v>
      </c>
      <c r="G353" s="105" t="str">
        <f>VLOOKUP(E353,ACHATS!$C:$D,2,0)</f>
        <v>RECOLTE</v>
      </c>
      <c r="H353" s="107">
        <f>765/16.44</f>
        <v>46.532846715328461</v>
      </c>
      <c r="I353" s="107">
        <f>VLOOKUP(C353,PARCELLAIRE!$D$2:$F$29,3,0)</f>
        <v>16.440000000000001</v>
      </c>
      <c r="J353" s="107">
        <f t="shared" si="20"/>
        <v>765</v>
      </c>
      <c r="K353" s="107">
        <f>VLOOKUP(E353,'COUT MOYEN'!$B$1:$E$71,4,0)</f>
        <v>1</v>
      </c>
      <c r="L353" s="108">
        <f t="shared" si="22"/>
        <v>765</v>
      </c>
      <c r="M353" s="108"/>
      <c r="N353" s="63" t="str">
        <f t="shared" si="21"/>
        <v>Lescandes Côteau</v>
      </c>
      <c r="O353" s="172">
        <f>SUMPRODUCT(--(PARCELLAIRE!H$2:H$58=UTILISATIONS!N353))</f>
        <v>0</v>
      </c>
    </row>
    <row r="354" spans="1:15" ht="15">
      <c r="A354" s="105">
        <v>2013</v>
      </c>
      <c r="B354" s="105" t="str">
        <f>INDEX(PARCELLAIRE!$B$2:$B$29,MATCH(UTILISATIONS!C354,PARCELLAIRE!$D$2:$D$29,0))</f>
        <v xml:space="preserve">BLE DUR </v>
      </c>
      <c r="C354" s="105" t="s">
        <v>162</v>
      </c>
      <c r="D354" s="106">
        <v>41479</v>
      </c>
      <c r="E354" s="116" t="s">
        <v>186</v>
      </c>
      <c r="F354" s="105" t="s">
        <v>187</v>
      </c>
      <c r="G354" s="105" t="str">
        <f>VLOOKUP(E354,ACHATS!$C:$D,2,0)</f>
        <v>RECOLTE</v>
      </c>
      <c r="H354" s="107">
        <f>124/2.67</f>
        <v>46.441947565543074</v>
      </c>
      <c r="I354" s="107">
        <f>VLOOKUP(C354,PARCELLAIRE!$D$2:$F$29,3,0)</f>
        <v>2.67</v>
      </c>
      <c r="J354" s="107">
        <f t="shared" si="20"/>
        <v>124</v>
      </c>
      <c r="K354" s="107">
        <f>VLOOKUP(E354,'COUT MOYEN'!$B$1:$E$71,4,0)</f>
        <v>1</v>
      </c>
      <c r="L354" s="108">
        <f t="shared" si="22"/>
        <v>124</v>
      </c>
      <c r="M354" s="108"/>
      <c r="N354" s="63" t="str">
        <f t="shared" si="21"/>
        <v>Lescandes</v>
      </c>
      <c r="O354" s="172">
        <f>SUMPRODUCT(--(PARCELLAIRE!H$2:H$58=UTILISATIONS!N354))</f>
        <v>0</v>
      </c>
    </row>
    <row r="355" spans="1:15" ht="15">
      <c r="A355" s="105">
        <v>2013</v>
      </c>
      <c r="B355" s="105" t="str">
        <f>INDEX(PARCELLAIRE!$B$2:$B$29,MATCH(UTILISATIONS!C355,PARCELLAIRE!$D$2:$D$29,0))</f>
        <v xml:space="preserve">BLE DUR </v>
      </c>
      <c r="C355" s="105" t="s">
        <v>161</v>
      </c>
      <c r="D355" s="106">
        <v>41479</v>
      </c>
      <c r="E355" s="116" t="s">
        <v>186</v>
      </c>
      <c r="F355" s="105" t="s">
        <v>187</v>
      </c>
      <c r="G355" s="105" t="str">
        <f>VLOOKUP(E355,ACHATS!$C:$D,2,0)</f>
        <v>RECOLTE</v>
      </c>
      <c r="H355" s="107">
        <f>272/5.07</f>
        <v>53.648915187376723</v>
      </c>
      <c r="I355" s="107">
        <f>VLOOKUP(C355,PARCELLAIRE!$D$2:$F$29,3,0)</f>
        <v>5.07</v>
      </c>
      <c r="J355" s="107">
        <f t="shared" si="20"/>
        <v>272</v>
      </c>
      <c r="K355" s="107">
        <f>VLOOKUP(E355,'COUT MOYEN'!$B$1:$E$71,4,0)</f>
        <v>1</v>
      </c>
      <c r="L355" s="108">
        <f t="shared" si="22"/>
        <v>272</v>
      </c>
      <c r="M355" s="108"/>
      <c r="N355" s="63" t="str">
        <f t="shared" si="21"/>
        <v>Laclos</v>
      </c>
      <c r="O355" s="172">
        <f>SUMPRODUCT(--(PARCELLAIRE!H$2:H$58=UTILISATIONS!N355))</f>
        <v>0</v>
      </c>
    </row>
    <row r="356" spans="1:15" ht="15">
      <c r="A356" s="105">
        <v>2013</v>
      </c>
      <c r="B356" s="105" t="str">
        <f>INDEX(PARCELLAIRE!$B$2:$B$29,MATCH(UTILISATIONS!C356,PARCELLAIRE!$D$2:$D$29,0))</f>
        <v xml:space="preserve">BLE DUR </v>
      </c>
      <c r="C356" s="105" t="s">
        <v>176</v>
      </c>
      <c r="D356" s="106">
        <v>41479</v>
      </c>
      <c r="E356" s="116" t="s">
        <v>186</v>
      </c>
      <c r="F356" s="105" t="s">
        <v>187</v>
      </c>
      <c r="G356" s="105" t="str">
        <f>VLOOKUP(E356,ACHATS!$C:$D,2,0)</f>
        <v>RECOLTE</v>
      </c>
      <c r="H356" s="107">
        <f>462/11.9</f>
        <v>38.823529411764703</v>
      </c>
      <c r="I356" s="107">
        <f>VLOOKUP(C356,PARCELLAIRE!$D$2:$F$29,3,0)</f>
        <v>11.9</v>
      </c>
      <c r="J356" s="107">
        <f t="shared" si="20"/>
        <v>462</v>
      </c>
      <c r="K356" s="107">
        <f>VLOOKUP(E356,'COUT MOYEN'!$B$1:$E$71,4,0)</f>
        <v>1</v>
      </c>
      <c r="L356" s="108">
        <f t="shared" si="22"/>
        <v>462</v>
      </c>
      <c r="M356" s="108"/>
      <c r="N356" s="63" t="str">
        <f t="shared" si="21"/>
        <v>Labaou Devant</v>
      </c>
      <c r="O356" s="172">
        <f>SUMPRODUCT(--(PARCELLAIRE!H$2:H$58=UTILISATIONS!N356))</f>
        <v>0</v>
      </c>
    </row>
    <row r="357" spans="1:15" ht="15">
      <c r="A357" s="105">
        <v>2013</v>
      </c>
      <c r="B357" s="105" t="str">
        <f>INDEX(PARCELLAIRE!$B$2:$B$29,MATCH(UTILISATIONS!C357,PARCELLAIRE!$D$2:$D$29,0))</f>
        <v xml:space="preserve">BLE DUR </v>
      </c>
      <c r="C357" s="105" t="s">
        <v>151</v>
      </c>
      <c r="D357" s="106">
        <v>41479</v>
      </c>
      <c r="E357" s="116" t="s">
        <v>186</v>
      </c>
      <c r="F357" s="105" t="s">
        <v>187</v>
      </c>
      <c r="G357" s="105" t="str">
        <f>VLOOKUP(E357,ACHATS!$C:$D,2,0)</f>
        <v>RECOLTE</v>
      </c>
      <c r="H357" s="107">
        <f>331/7.58</f>
        <v>43.66754617414248</v>
      </c>
      <c r="I357" s="107">
        <f>VLOOKUP(C357,PARCELLAIRE!$D$2:$F$29,3,0)</f>
        <v>7.58</v>
      </c>
      <c r="J357" s="107">
        <f t="shared" si="20"/>
        <v>331</v>
      </c>
      <c r="K357" s="107">
        <f>VLOOKUP(E357,'COUT MOYEN'!$B$1:$E$71,4,0)</f>
        <v>1</v>
      </c>
      <c r="L357" s="108">
        <f t="shared" si="22"/>
        <v>331</v>
      </c>
      <c r="M357" s="108"/>
      <c r="N357" s="63" t="str">
        <f t="shared" si="21"/>
        <v>Escarcelou</v>
      </c>
      <c r="O357" s="172">
        <f>SUMPRODUCT(--(PARCELLAIRE!H$2:H$58=UTILISATIONS!N357))</f>
        <v>0</v>
      </c>
    </row>
    <row r="358" spans="1:15" ht="15">
      <c r="A358" s="105">
        <v>2013</v>
      </c>
      <c r="B358" s="105" t="str">
        <f>INDEX(PARCELLAIRE!$B$2:$B$29,MATCH(UTILISATIONS!C358,PARCELLAIRE!$D$2:$D$29,0))</f>
        <v xml:space="preserve">BLE DUR </v>
      </c>
      <c r="C358" s="105" t="s">
        <v>153</v>
      </c>
      <c r="D358" s="106">
        <v>41479</v>
      </c>
      <c r="E358" s="116" t="s">
        <v>186</v>
      </c>
      <c r="F358" s="105" t="s">
        <v>187</v>
      </c>
      <c r="G358" s="105" t="str">
        <f>VLOOKUP(E358,ACHATS!$C:$D,2,0)</f>
        <v>RECOLTE</v>
      </c>
      <c r="H358" s="107">
        <f>327/7.5</f>
        <v>43.6</v>
      </c>
      <c r="I358" s="107">
        <f>VLOOKUP(C358,PARCELLAIRE!$D$2:$F$29,3,0)</f>
        <v>7.5</v>
      </c>
      <c r="J358" s="107">
        <f t="shared" si="20"/>
        <v>327</v>
      </c>
      <c r="K358" s="107">
        <f>VLOOKUP(E358,'COUT MOYEN'!$B$1:$E$71,4,0)</f>
        <v>1</v>
      </c>
      <c r="L358" s="108">
        <f t="shared" si="22"/>
        <v>327</v>
      </c>
      <c r="M358" s="108"/>
      <c r="N358" s="63" t="str">
        <f t="shared" si="21"/>
        <v>Escarcelou Pte</v>
      </c>
      <c r="O358" s="172">
        <f>SUMPRODUCT(--(PARCELLAIRE!H$2:H$58=UTILISATIONS!N358))</f>
        <v>0</v>
      </c>
    </row>
    <row r="359" spans="1:15" ht="15">
      <c r="A359" s="105">
        <v>2013</v>
      </c>
      <c r="B359" s="105" t="str">
        <f>INDEX(PARCELLAIRE!$B$2:$B$29,MATCH(UTILISATIONS!C359,PARCELLAIRE!$D$2:$D$29,0))</f>
        <v xml:space="preserve">BLE DUR </v>
      </c>
      <c r="C359" s="105" t="s">
        <v>152</v>
      </c>
      <c r="D359" s="106">
        <v>41479</v>
      </c>
      <c r="E359" s="116" t="s">
        <v>186</v>
      </c>
      <c r="F359" s="105" t="s">
        <v>187</v>
      </c>
      <c r="G359" s="105" t="str">
        <f>VLOOKUP(E359,ACHATS!$C:$D,2,0)</f>
        <v>RECOLTE</v>
      </c>
      <c r="H359" s="107">
        <f>59/1.34</f>
        <v>44.029850746268657</v>
      </c>
      <c r="I359" s="107">
        <f>VLOOKUP(C359,PARCELLAIRE!$D$2:$F$29,3,0)</f>
        <v>1.34</v>
      </c>
      <c r="J359" s="107">
        <f t="shared" si="20"/>
        <v>59.000000000000007</v>
      </c>
      <c r="K359" s="107">
        <f>VLOOKUP(E359,'COUT MOYEN'!$B$1:$E$71,4,0)</f>
        <v>1</v>
      </c>
      <c r="L359" s="108">
        <f t="shared" si="22"/>
        <v>59.000000000000007</v>
      </c>
      <c r="M359" s="108"/>
      <c r="N359" s="63" t="str">
        <f t="shared" si="21"/>
        <v>Escarcelou Jachère</v>
      </c>
      <c r="O359" s="172">
        <f>SUMPRODUCT(--(PARCELLAIRE!H$2:H$58=UTILISATIONS!N359))</f>
        <v>0</v>
      </c>
    </row>
    <row r="360" spans="1:15" ht="15">
      <c r="A360" s="105">
        <v>2013</v>
      </c>
      <c r="B360" s="105" t="str">
        <f>INDEX(PARCELLAIRE!$B$2:$B$29,MATCH(UTILISATIONS!C360,PARCELLAIRE!$D$2:$D$29,0))</f>
        <v xml:space="preserve">BLE DUR </v>
      </c>
      <c r="C360" s="105" t="s">
        <v>170</v>
      </c>
      <c r="D360" s="106">
        <v>41479</v>
      </c>
      <c r="E360" s="116" t="s">
        <v>186</v>
      </c>
      <c r="F360" s="105" t="s">
        <v>187</v>
      </c>
      <c r="G360" s="105" t="str">
        <f>VLOOKUP(E360,ACHATS!$C:$D,2,0)</f>
        <v>RECOLTE</v>
      </c>
      <c r="H360" s="107">
        <f>59/1.26</f>
        <v>46.825396825396822</v>
      </c>
      <c r="I360" s="107">
        <f>VLOOKUP(C360,PARCELLAIRE!$D$2:$F$29,3,0)</f>
        <v>1.26</v>
      </c>
      <c r="J360" s="107">
        <f t="shared" si="20"/>
        <v>59</v>
      </c>
      <c r="K360" s="107">
        <f>VLOOKUP(E360,'COUT MOYEN'!$B$1:$E$71,4,0)</f>
        <v>1</v>
      </c>
      <c r="L360" s="108">
        <f t="shared" si="22"/>
        <v>59</v>
      </c>
      <c r="M360" s="108"/>
      <c r="N360" s="63" t="str">
        <f t="shared" si="21"/>
        <v>Seillonne</v>
      </c>
      <c r="O360" s="172">
        <f>SUMPRODUCT(--(PARCELLAIRE!H$2:H$58=UTILISATIONS!N360))</f>
        <v>0</v>
      </c>
    </row>
    <row r="361" spans="1:15" ht="15">
      <c r="A361" s="105">
        <v>2013</v>
      </c>
      <c r="B361" s="105" t="str">
        <f>INDEX(PARCELLAIRE!$B$2:$B$29,MATCH(UTILISATIONS!C361,PARCELLAIRE!$D$2:$D$29,0))</f>
        <v>BLE TENDRE</v>
      </c>
      <c r="C361" s="105" t="s">
        <v>160</v>
      </c>
      <c r="D361" s="106">
        <v>41479</v>
      </c>
      <c r="E361" s="116" t="s">
        <v>186</v>
      </c>
      <c r="F361" s="105" t="s">
        <v>187</v>
      </c>
      <c r="G361" s="105" t="str">
        <f>VLOOKUP(E361,ACHATS!$C:$D,2,0)</f>
        <v>RECOLTE</v>
      </c>
      <c r="H361" s="107">
        <f>1312/17.55</f>
        <v>74.757834757834758</v>
      </c>
      <c r="I361" s="107">
        <f>VLOOKUP(C361,PARCELLAIRE!$D$2:$F$29,3,0)</f>
        <v>17.55</v>
      </c>
      <c r="J361" s="107">
        <f t="shared" si="20"/>
        <v>1312</v>
      </c>
      <c r="K361" s="107">
        <f>VLOOKUP(E361,'COUT MOYEN'!$B$1:$E$71,4,0)</f>
        <v>1</v>
      </c>
      <c r="L361" s="108">
        <f t="shared" si="22"/>
        <v>1312</v>
      </c>
      <c r="M361" s="108"/>
      <c r="N361" s="63" t="str">
        <f t="shared" si="21"/>
        <v>Labaou Plaine</v>
      </c>
      <c r="O361" s="172">
        <f>SUMPRODUCT(--(PARCELLAIRE!H$2:H$58=UTILISATIONS!N361))</f>
        <v>1</v>
      </c>
    </row>
    <row r="362" spans="1:15">
      <c r="A362" s="105">
        <v>2013</v>
      </c>
      <c r="B362" s="105" t="str">
        <f>INDEX(PARCELLAIRE!$B$2:$B$29,MATCH(UTILISATIONS!C362,PARCELLAIRE!$D$2:$D$29,0))</f>
        <v xml:space="preserve">SOJA </v>
      </c>
      <c r="C362" s="105" t="s">
        <v>173</v>
      </c>
      <c r="D362" s="106">
        <v>41479</v>
      </c>
      <c r="E362" s="105" t="s">
        <v>134</v>
      </c>
      <c r="F362" s="105" t="s">
        <v>135</v>
      </c>
      <c r="G362" s="105" t="str">
        <f>VLOOKUP(E362,ACHATS!$C:$D,2,0)</f>
        <v>IRRIGATION</v>
      </c>
      <c r="H362" s="107">
        <v>30</v>
      </c>
      <c r="I362" s="107">
        <f>VLOOKUP(C362,PARCELLAIRE!$D$2:$F$29,3,0)</f>
        <v>8.58</v>
      </c>
      <c r="J362" s="107">
        <f t="shared" ref="J362" si="23">I362*H362</f>
        <v>257.39999999999998</v>
      </c>
      <c r="K362" s="107">
        <f>VLOOKUP(E362,'COUT MOYEN'!$B$1:$E$71,4,0)</f>
        <v>1</v>
      </c>
      <c r="L362" s="108">
        <f t="shared" si="22"/>
        <v>257.39999999999998</v>
      </c>
      <c r="M362" s="108"/>
      <c r="N362" s="63" t="str">
        <f t="shared" si="21"/>
        <v>Engleyse Route</v>
      </c>
      <c r="O362" s="172">
        <f>SUMPRODUCT(--(PARCELLAIRE!H$2:H$58=UTILISATIONS!N362))</f>
        <v>0</v>
      </c>
    </row>
    <row r="363" spans="1:15">
      <c r="A363" s="105">
        <v>2013</v>
      </c>
      <c r="B363" s="105" t="str">
        <f>INDEX(PARCELLAIRE!$B$2:$B$29,MATCH(UTILISATIONS!C363,PARCELLAIRE!$D$2:$D$29,0))</f>
        <v xml:space="preserve">SOJA </v>
      </c>
      <c r="C363" s="105" t="s">
        <v>173</v>
      </c>
      <c r="D363" s="106">
        <v>41485</v>
      </c>
      <c r="E363" s="105" t="s">
        <v>134</v>
      </c>
      <c r="F363" s="105" t="s">
        <v>135</v>
      </c>
      <c r="G363" s="105" t="str">
        <f>VLOOKUP(E363,ACHATS!$C:$D,2,0)</f>
        <v>IRRIGATION</v>
      </c>
      <c r="H363" s="107">
        <v>25</v>
      </c>
      <c r="I363" s="107">
        <f>VLOOKUP(C363,PARCELLAIRE!$D$2:$F$29,3,0)</f>
        <v>8.58</v>
      </c>
      <c r="J363" s="107">
        <f t="shared" si="20"/>
        <v>214.5</v>
      </c>
      <c r="K363" s="107">
        <f>VLOOKUP(E363,'COUT MOYEN'!$B$1:$E$71,4,0)</f>
        <v>1</v>
      </c>
      <c r="L363" s="108">
        <f t="shared" si="22"/>
        <v>214.5</v>
      </c>
      <c r="M363" s="108"/>
      <c r="N363" s="63" t="str">
        <f t="shared" si="21"/>
        <v>Engleyse Route</v>
      </c>
      <c r="O363" s="172">
        <f>SUMPRODUCT(--(PARCELLAIRE!H$2:H$58=UTILISATIONS!N363))</f>
        <v>0</v>
      </c>
    </row>
    <row r="364" spans="1:15">
      <c r="A364" s="110">
        <v>2013</v>
      </c>
      <c r="B364" s="105" t="str">
        <f>INDEX(PARCELLAIRE!$B$2:$B$29,MATCH(UTILISATIONS!C364,PARCELLAIRE!$D$2:$D$29,0))</f>
        <v xml:space="preserve">BLE DUR </v>
      </c>
      <c r="C364" s="110" t="s">
        <v>152</v>
      </c>
      <c r="D364" s="109">
        <v>41489</v>
      </c>
      <c r="E364" s="110" t="s">
        <v>20</v>
      </c>
      <c r="F364" s="110" t="s">
        <v>69</v>
      </c>
      <c r="G364" s="105" t="str">
        <f>VLOOKUP(E364,ACHATS!$C:$D,2,0)</f>
        <v>DESHERBANT</v>
      </c>
      <c r="H364" s="110">
        <v>0.9</v>
      </c>
      <c r="I364" s="107">
        <f>VLOOKUP(C364,PARCELLAIRE!$D$2:$F$29,3,0)</f>
        <v>1.34</v>
      </c>
      <c r="J364" s="107">
        <f t="shared" si="20"/>
        <v>1.2060000000000002</v>
      </c>
      <c r="K364" s="107">
        <f>VLOOKUP(E364,'COUT MOYEN'!$B$1:$E$71,4,0)</f>
        <v>31</v>
      </c>
      <c r="L364" s="112">
        <v>209.25</v>
      </c>
      <c r="M364" s="112"/>
      <c r="N364" s="63" t="str">
        <f t="shared" si="21"/>
        <v>Escarcelou Jachère</v>
      </c>
      <c r="O364" s="172">
        <f>SUMPRODUCT(--(PARCELLAIRE!H$2:H$58=UTILISATIONS!N364))</f>
        <v>0</v>
      </c>
    </row>
    <row r="365" spans="1:15">
      <c r="A365" s="110">
        <v>2013</v>
      </c>
      <c r="B365" s="105" t="str">
        <f>INDEX(PARCELLAIRE!$B$2:$B$29,MATCH(UTILISATIONS!C365,PARCELLAIRE!$D$2:$D$29,0))</f>
        <v xml:space="preserve">BLE DUR </v>
      </c>
      <c r="C365" s="110" t="s">
        <v>152</v>
      </c>
      <c r="D365" s="109">
        <v>41489</v>
      </c>
      <c r="E365" s="110" t="s">
        <v>21</v>
      </c>
      <c r="F365" s="110" t="s">
        <v>69</v>
      </c>
      <c r="G365" s="105" t="str">
        <f>VLOOKUP(E365,ACHATS!$C:$D,2,0)</f>
        <v>DESHERBANT</v>
      </c>
      <c r="H365" s="110">
        <v>60</v>
      </c>
      <c r="I365" s="107">
        <f>VLOOKUP(C365,PARCELLAIRE!$D$2:$F$29,3,0)</f>
        <v>1.34</v>
      </c>
      <c r="J365" s="107">
        <f t="shared" si="20"/>
        <v>80.400000000000006</v>
      </c>
      <c r="K365" s="107">
        <f>VLOOKUP(E365,'COUT MOYEN'!$B$1:$E$71,4,0)</f>
        <v>0.21666666666666667</v>
      </c>
      <c r="L365" s="112">
        <v>97.5</v>
      </c>
      <c r="M365" s="112"/>
      <c r="N365" s="63" t="str">
        <f t="shared" si="21"/>
        <v>Escarcelou Jachère</v>
      </c>
      <c r="O365" s="172">
        <f>SUMPRODUCT(--(PARCELLAIRE!H$2:H$58=UTILISATIONS!N365))</f>
        <v>0</v>
      </c>
    </row>
    <row r="366" spans="1:15">
      <c r="A366" s="105">
        <v>2013</v>
      </c>
      <c r="B366" s="105" t="str">
        <f>INDEX(PARCELLAIRE!$B$2:$B$29,MATCH(UTILISATIONS!C366,PARCELLAIRE!$D$2:$D$29,0))</f>
        <v>SORGHO</v>
      </c>
      <c r="C366" s="105" t="s">
        <v>149</v>
      </c>
      <c r="D366" s="106">
        <v>41485</v>
      </c>
      <c r="E366" s="105" t="s">
        <v>134</v>
      </c>
      <c r="F366" s="105" t="s">
        <v>135</v>
      </c>
      <c r="G366" s="105" t="str">
        <f>VLOOKUP(E366,ACHATS!$C:$D,2,0)</f>
        <v>IRRIGATION</v>
      </c>
      <c r="H366" s="107">
        <v>30</v>
      </c>
      <c r="I366" s="107">
        <f>VLOOKUP(C366,PARCELLAIRE!$D$2:$F$29,3,0)</f>
        <v>10.93</v>
      </c>
      <c r="J366" s="107">
        <f t="shared" ref="J366" si="24">I366*H366</f>
        <v>327.9</v>
      </c>
      <c r="K366" s="107">
        <f>VLOOKUP(E366,'COUT MOYEN'!$B$1:$E$71,4,0)</f>
        <v>1</v>
      </c>
      <c r="L366" s="108">
        <f t="shared" ref="L366" si="25">K366*J366</f>
        <v>327.9</v>
      </c>
      <c r="M366" s="108"/>
      <c r="N366" s="63" t="str">
        <f t="shared" si="21"/>
        <v>Engleyse métairie</v>
      </c>
      <c r="O366" s="172">
        <f>SUMPRODUCT(--(PARCELLAIRE!H$2:H$58=UTILISATIONS!N366))</f>
        <v>0</v>
      </c>
    </row>
    <row r="367" spans="1:15">
      <c r="A367" s="105">
        <v>2013</v>
      </c>
      <c r="B367" s="105" t="str">
        <f>INDEX(PARCELLAIRE!$B$2:$B$29,MATCH(UTILISATIONS!C367,PARCELLAIRE!$D$2:$D$29,0))</f>
        <v xml:space="preserve">SOJA </v>
      </c>
      <c r="C367" s="105" t="s">
        <v>173</v>
      </c>
      <c r="D367" s="106">
        <v>41498</v>
      </c>
      <c r="E367" s="105" t="s">
        <v>134</v>
      </c>
      <c r="F367" s="105" t="s">
        <v>135</v>
      </c>
      <c r="G367" s="105" t="str">
        <f>VLOOKUP(E367,ACHATS!$C:$D,2,0)</f>
        <v>IRRIGATION</v>
      </c>
      <c r="H367" s="107">
        <v>30</v>
      </c>
      <c r="I367" s="107">
        <f>VLOOKUP(C367,PARCELLAIRE!$D$2:$F$29,3,0)</f>
        <v>8.58</v>
      </c>
      <c r="J367" s="107">
        <f t="shared" si="20"/>
        <v>257.39999999999998</v>
      </c>
      <c r="K367" s="107">
        <f>VLOOKUP(E367,'COUT MOYEN'!$B$1:$E$71,4,0)</f>
        <v>1</v>
      </c>
      <c r="L367" s="108">
        <f t="shared" ref="L367:L383" si="26">K367*J367</f>
        <v>257.39999999999998</v>
      </c>
      <c r="M367" s="108"/>
      <c r="N367" s="63" t="str">
        <f>IF(WHEN=A367,C367,1)</f>
        <v>Engleyse Route</v>
      </c>
      <c r="O367" s="172">
        <f>SUMPRODUCT(--(PARCELLAIRE!H$2:H$58=UTILISATIONS!N367))</f>
        <v>0</v>
      </c>
    </row>
    <row r="368" spans="1:15">
      <c r="A368" s="105">
        <v>2013</v>
      </c>
      <c r="B368" s="105" t="str">
        <f>INDEX(PARCELLAIRE!$B$2:$B$29,MATCH(UTILISATIONS!C368,PARCELLAIRE!$D$2:$D$29,0))</f>
        <v>SORGHO</v>
      </c>
      <c r="C368" s="105" t="s">
        <v>149</v>
      </c>
      <c r="D368" s="106">
        <v>41498</v>
      </c>
      <c r="E368" s="105" t="s">
        <v>134</v>
      </c>
      <c r="F368" s="105" t="s">
        <v>135</v>
      </c>
      <c r="G368" s="105" t="str">
        <f>VLOOKUP(E368,ACHATS!$C:$D,2,0)</f>
        <v>IRRIGATION</v>
      </c>
      <c r="H368" s="107">
        <v>30</v>
      </c>
      <c r="I368" s="107">
        <f>VLOOKUP(C368,PARCELLAIRE!$D$2:$F$29,3,0)</f>
        <v>10.93</v>
      </c>
      <c r="J368" s="107">
        <f t="shared" si="20"/>
        <v>327.9</v>
      </c>
      <c r="K368" s="107">
        <f>VLOOKUP(E368,'COUT MOYEN'!$B$1:$E$71,4,0)</f>
        <v>1</v>
      </c>
      <c r="L368" s="108">
        <f t="shared" si="26"/>
        <v>327.9</v>
      </c>
      <c r="M368" s="108"/>
      <c r="N368" s="63" t="str">
        <f t="shared" si="21"/>
        <v>Engleyse métairie</v>
      </c>
      <c r="O368" s="172">
        <f>SUMPRODUCT(--(PARCELLAIRE!H$2:H$58=UTILISATIONS!N368))</f>
        <v>0</v>
      </c>
    </row>
    <row r="369" spans="1:15" ht="15">
      <c r="A369" s="105">
        <v>2014</v>
      </c>
      <c r="B369" s="105" t="str">
        <f>INDEX(PARCELLAIRE!$B$2:$B$29,MATCH(UTILISATIONS!C369,PARCELLAIRE!$D$2:$D$29,0))</f>
        <v>BLE TENDRE</v>
      </c>
      <c r="C369" s="105" t="s">
        <v>160</v>
      </c>
      <c r="D369" s="106">
        <v>41498</v>
      </c>
      <c r="E369" s="116" t="s">
        <v>189</v>
      </c>
      <c r="F369" s="105" t="s">
        <v>188</v>
      </c>
      <c r="G369" s="105" t="str">
        <f>VLOOKUP(E369,ACHATS!$C:$D,2,0)</f>
        <v>ENGRAIS</v>
      </c>
      <c r="H369" s="107">
        <v>1.35</v>
      </c>
      <c r="I369" s="107">
        <f>VLOOKUP(C369,PARCELLAIRE!$D$2:$F$29,3,0)</f>
        <v>17.55</v>
      </c>
      <c r="J369" s="107">
        <f t="shared" si="20"/>
        <v>23.692500000000003</v>
      </c>
      <c r="K369" s="107">
        <f>VLOOKUP(E369,'COUT MOYEN'!$B$1:$E$71,4,0)</f>
        <v>1</v>
      </c>
      <c r="L369" s="108">
        <f t="shared" si="26"/>
        <v>23.692500000000003</v>
      </c>
      <c r="M369" s="108"/>
      <c r="N369" s="63">
        <f t="shared" si="21"/>
        <v>1</v>
      </c>
      <c r="O369" s="172">
        <f>SUMPRODUCT(--(PARCELLAIRE!H$2:H$58=UTILISATIONS!N369))</f>
        <v>0</v>
      </c>
    </row>
    <row r="370" spans="1:15" ht="15">
      <c r="A370" s="105">
        <v>2014</v>
      </c>
      <c r="B370" s="105" t="str">
        <f>INDEX(PARCELLAIRE!$B$2:$B$29,MATCH(UTILISATIONS!C370,PARCELLAIRE!$D$2:$D$29,0))</f>
        <v xml:space="preserve">BLE DUR </v>
      </c>
      <c r="C370" s="105" t="s">
        <v>176</v>
      </c>
      <c r="D370" s="106">
        <v>41498</v>
      </c>
      <c r="E370" s="116" t="s">
        <v>189</v>
      </c>
      <c r="F370" s="105" t="s">
        <v>188</v>
      </c>
      <c r="G370" s="105" t="str">
        <f>VLOOKUP(E370,ACHATS!$C:$D,2,0)</f>
        <v>ENGRAIS</v>
      </c>
      <c r="H370" s="107">
        <v>1.35</v>
      </c>
      <c r="I370" s="107">
        <f>VLOOKUP(C370,PARCELLAIRE!$D$2:$F$29,3,0)</f>
        <v>11.9</v>
      </c>
      <c r="J370" s="107">
        <f t="shared" si="20"/>
        <v>16.065000000000001</v>
      </c>
      <c r="K370" s="107">
        <f>VLOOKUP(E370,'COUT MOYEN'!$B$1:$E$71,4,0)</f>
        <v>1</v>
      </c>
      <c r="L370" s="108">
        <f t="shared" si="26"/>
        <v>16.065000000000001</v>
      </c>
      <c r="M370" s="108"/>
      <c r="N370" s="63">
        <f t="shared" si="21"/>
        <v>1</v>
      </c>
      <c r="O370" s="172">
        <f>SUMPRODUCT(--(PARCELLAIRE!H$2:H$58=UTILISATIONS!N370))</f>
        <v>0</v>
      </c>
    </row>
    <row r="371" spans="1:15" ht="15">
      <c r="A371" s="105">
        <v>2014</v>
      </c>
      <c r="B371" s="105" t="str">
        <f>INDEX(PARCELLAIRE!$B$2:$B$29,MATCH(UTILISATIONS!C371,PARCELLAIRE!$D$2:$D$29,0))</f>
        <v xml:space="preserve">BLE DUR </v>
      </c>
      <c r="C371" s="105" t="s">
        <v>174</v>
      </c>
      <c r="D371" s="106">
        <v>41498</v>
      </c>
      <c r="E371" s="116" t="s">
        <v>189</v>
      </c>
      <c r="F371" s="105" t="s">
        <v>188</v>
      </c>
      <c r="G371" s="105" t="str">
        <f>VLOOKUP(E371,ACHATS!$C:$D,2,0)</f>
        <v>ENGRAIS</v>
      </c>
      <c r="H371" s="107">
        <v>1.35</v>
      </c>
      <c r="I371" s="107">
        <v>11.7</v>
      </c>
      <c r="J371" s="107">
        <f t="shared" si="20"/>
        <v>15.795</v>
      </c>
      <c r="K371" s="107">
        <f>VLOOKUP(E371,'COUT MOYEN'!$B$1:$E$71,4,0)</f>
        <v>1</v>
      </c>
      <c r="L371" s="108">
        <f t="shared" si="26"/>
        <v>15.795</v>
      </c>
      <c r="M371" s="108"/>
      <c r="N371" s="63">
        <f>IF(WHEN=A371,C371,1)</f>
        <v>1</v>
      </c>
      <c r="O371" s="172">
        <f>SUMPRODUCT(--(PARCELLAIRE!H$2:H$58=UTILISATIONS!N371))</f>
        <v>0</v>
      </c>
    </row>
    <row r="372" spans="1:15">
      <c r="A372" s="105">
        <v>2013</v>
      </c>
      <c r="B372" s="105" t="str">
        <f>INDEX(PARCELLAIRE!$B$2:$B$29,MATCH(UTILISATIONS!C372,PARCELLAIRE!$D$2:$D$29,0))</f>
        <v xml:space="preserve">SOJA </v>
      </c>
      <c r="C372" s="105" t="s">
        <v>173</v>
      </c>
      <c r="D372" s="106">
        <v>41505</v>
      </c>
      <c r="E372" s="105" t="s">
        <v>134</v>
      </c>
      <c r="F372" s="105" t="s">
        <v>135</v>
      </c>
      <c r="G372" s="105" t="str">
        <f>VLOOKUP(E372,ACHATS!$C:$D,2,0)</f>
        <v>IRRIGATION</v>
      </c>
      <c r="H372" s="107">
        <v>30</v>
      </c>
      <c r="I372" s="107">
        <f>VLOOKUP(C372,PARCELLAIRE!$D$2:$F$29,3,0)</f>
        <v>8.58</v>
      </c>
      <c r="J372" s="107">
        <f t="shared" si="20"/>
        <v>257.39999999999998</v>
      </c>
      <c r="K372" s="107">
        <f>VLOOKUP(E372,'COUT MOYEN'!$B$1:$E$71,4,0)</f>
        <v>1</v>
      </c>
      <c r="L372" s="108">
        <f t="shared" si="26"/>
        <v>257.39999999999998</v>
      </c>
      <c r="M372" s="108"/>
      <c r="N372" s="63" t="str">
        <f>IF(WHEN=A372,C372,1)</f>
        <v>Engleyse Route</v>
      </c>
      <c r="O372" s="172">
        <f>SUMPRODUCT(--(PARCELLAIRE!H$2:H$58=UTILISATIONS!N372))</f>
        <v>0</v>
      </c>
    </row>
    <row r="373" spans="1:15" ht="15">
      <c r="A373" s="105">
        <v>2014</v>
      </c>
      <c r="B373" s="105" t="str">
        <f>INDEX(PARCELLAIRE!$B$2:$B$29,MATCH(UTILISATIONS!C373,PARCELLAIRE!$D$2:$D$29,0))</f>
        <v xml:space="preserve">BLE DUR </v>
      </c>
      <c r="C373" s="105" t="s">
        <v>147</v>
      </c>
      <c r="D373" s="106">
        <v>41514</v>
      </c>
      <c r="E373" s="116" t="s">
        <v>142</v>
      </c>
      <c r="F373" s="105" t="s">
        <v>68</v>
      </c>
      <c r="G373" s="105" t="str">
        <f>VLOOKUP(E373,ACHATS!$C:$D,2,0)</f>
        <v>ENGRAIS</v>
      </c>
      <c r="H373" s="107">
        <v>200</v>
      </c>
      <c r="I373" s="107">
        <f>VLOOKUP(C373,PARCELLAIRE!$D$2:$F$29,3,0)</f>
        <v>5.67</v>
      </c>
      <c r="J373" s="107">
        <f t="shared" si="20"/>
        <v>1134</v>
      </c>
      <c r="K373" s="107">
        <f>VLOOKUP(E373,'COUT MOYEN'!$B$1:$E$71,4,0)</f>
        <v>1</v>
      </c>
      <c r="L373" s="108">
        <f t="shared" si="26"/>
        <v>1134</v>
      </c>
      <c r="M373" s="108"/>
      <c r="N373" s="63">
        <f t="shared" si="21"/>
        <v>1</v>
      </c>
      <c r="O373" s="172">
        <f>SUMPRODUCT(--(PARCELLAIRE!H$2:H$58=UTILISATIONS!N373))</f>
        <v>0</v>
      </c>
    </row>
    <row r="374" spans="1:15" ht="15">
      <c r="A374" s="105">
        <v>2014</v>
      </c>
      <c r="B374" s="105" t="str">
        <f>INDEX(PARCELLAIRE!$B$2:$B$29,MATCH(UTILISATIONS!C374,PARCELLAIRE!$D$2:$D$29,0))</f>
        <v xml:space="preserve">BLE DUR </v>
      </c>
      <c r="C374" s="105" t="s">
        <v>144</v>
      </c>
      <c r="D374" s="106">
        <v>41514</v>
      </c>
      <c r="E374" s="116" t="s">
        <v>142</v>
      </c>
      <c r="F374" s="105" t="s">
        <v>68</v>
      </c>
      <c r="G374" s="105" t="str">
        <f>VLOOKUP(E374,ACHATS!$C:$D,2,0)</f>
        <v>ENGRAIS</v>
      </c>
      <c r="H374" s="107">
        <v>200</v>
      </c>
      <c r="I374" s="107">
        <f>VLOOKUP(C374,PARCELLAIRE!$D$2:$F$29,3,0)</f>
        <v>5.27</v>
      </c>
      <c r="J374" s="107">
        <f t="shared" si="20"/>
        <v>1054</v>
      </c>
      <c r="K374" s="107">
        <f>VLOOKUP(E374,'COUT MOYEN'!$B$1:$E$71,4,0)</f>
        <v>1</v>
      </c>
      <c r="L374" s="108">
        <f t="shared" si="26"/>
        <v>1054</v>
      </c>
      <c r="M374" s="108"/>
      <c r="N374" s="63">
        <f t="shared" si="21"/>
        <v>1</v>
      </c>
      <c r="O374" s="172">
        <f>SUMPRODUCT(--(PARCELLAIRE!H$2:H$58=UTILISATIONS!N374))</f>
        <v>0</v>
      </c>
    </row>
    <row r="375" spans="1:15" ht="15">
      <c r="A375" s="105">
        <v>2014</v>
      </c>
      <c r="B375" s="105" t="str">
        <f>INDEX(PARCELLAIRE!$B$2:$B$29,MATCH(UTILISATIONS!C375,PARCELLAIRE!$D$2:$D$29,0))</f>
        <v xml:space="preserve">BLE DUR </v>
      </c>
      <c r="C375" s="105" t="s">
        <v>162</v>
      </c>
      <c r="D375" s="106">
        <v>41514</v>
      </c>
      <c r="E375" s="116" t="s">
        <v>142</v>
      </c>
      <c r="F375" s="105" t="s">
        <v>68</v>
      </c>
      <c r="G375" s="105" t="str">
        <f>VLOOKUP(E375,ACHATS!$C:$D,2,0)</f>
        <v>ENGRAIS</v>
      </c>
      <c r="H375" s="107">
        <v>200</v>
      </c>
      <c r="I375" s="107">
        <f>VLOOKUP(C375,PARCELLAIRE!$D$2:$F$29,3,0)</f>
        <v>2.67</v>
      </c>
      <c r="J375" s="107">
        <f t="shared" si="20"/>
        <v>534</v>
      </c>
      <c r="K375" s="107">
        <f>VLOOKUP(E375,'COUT MOYEN'!$B$1:$E$71,4,0)</f>
        <v>1</v>
      </c>
      <c r="L375" s="108">
        <f t="shared" si="26"/>
        <v>534</v>
      </c>
      <c r="M375" s="108"/>
      <c r="N375" s="63">
        <f t="shared" si="21"/>
        <v>1</v>
      </c>
      <c r="O375" s="172">
        <f>SUMPRODUCT(--(PARCELLAIRE!H$2:H$58=UTILISATIONS!N375))</f>
        <v>0</v>
      </c>
    </row>
    <row r="376" spans="1:15" ht="15">
      <c r="A376" s="105">
        <v>2014</v>
      </c>
      <c r="B376" s="105" t="str">
        <f>INDEX(PARCELLAIRE!$B$2:$B$29,MATCH(UTILISATIONS!C376,PARCELLAIRE!$D$2:$D$29,0))</f>
        <v xml:space="preserve">BLE DUR </v>
      </c>
      <c r="C376" s="105" t="s">
        <v>172</v>
      </c>
      <c r="D376" s="106">
        <v>41514</v>
      </c>
      <c r="E376" s="116" t="s">
        <v>142</v>
      </c>
      <c r="F376" s="105" t="s">
        <v>68</v>
      </c>
      <c r="G376" s="105" t="str">
        <f>VLOOKUP(E376,ACHATS!$C:$D,2,0)</f>
        <v>ENGRAIS</v>
      </c>
      <c r="H376" s="107">
        <v>200</v>
      </c>
      <c r="I376" s="107">
        <f>VLOOKUP(C376,PARCELLAIRE!$D$2:$F$29,3,0)</f>
        <v>16.440000000000001</v>
      </c>
      <c r="J376" s="107">
        <f t="shared" si="20"/>
        <v>3288.0000000000005</v>
      </c>
      <c r="K376" s="107">
        <f>VLOOKUP(E376,'COUT MOYEN'!$B$1:$E$71,4,0)</f>
        <v>1</v>
      </c>
      <c r="L376" s="108">
        <f t="shared" si="26"/>
        <v>3288.0000000000005</v>
      </c>
      <c r="M376" s="108"/>
      <c r="N376" s="63">
        <f t="shared" si="21"/>
        <v>1</v>
      </c>
      <c r="O376" s="172">
        <f>SUMPRODUCT(--(PARCELLAIRE!H$2:H$58=UTILISATIONS!N376))</f>
        <v>0</v>
      </c>
    </row>
    <row r="377" spans="1:15" ht="15">
      <c r="A377" s="105">
        <v>2014</v>
      </c>
      <c r="B377" s="105" t="str">
        <f>INDEX(PARCELLAIRE!$B$2:$B$29,MATCH(UTILISATIONS!C377,PARCELLAIRE!$D$2:$D$29,0))</f>
        <v xml:space="preserve">BLE DUR </v>
      </c>
      <c r="C377" s="105" t="s">
        <v>161</v>
      </c>
      <c r="D377" s="106">
        <v>41514</v>
      </c>
      <c r="E377" s="116" t="s">
        <v>142</v>
      </c>
      <c r="F377" s="105" t="s">
        <v>68</v>
      </c>
      <c r="G377" s="105" t="str">
        <f>VLOOKUP(E377,ACHATS!$C:$D,2,0)</f>
        <v>ENGRAIS</v>
      </c>
      <c r="H377" s="107">
        <v>200</v>
      </c>
      <c r="I377" s="107">
        <f>VLOOKUP(C377,PARCELLAIRE!$D$2:$F$29,3,0)</f>
        <v>5.07</v>
      </c>
      <c r="J377" s="107">
        <f t="shared" si="20"/>
        <v>1014</v>
      </c>
      <c r="K377" s="107">
        <f>VLOOKUP(E377,'COUT MOYEN'!$B$1:$E$71,4,0)</f>
        <v>1</v>
      </c>
      <c r="L377" s="108">
        <f t="shared" si="26"/>
        <v>1014</v>
      </c>
      <c r="M377" s="108"/>
      <c r="N377" s="63">
        <f t="shared" si="21"/>
        <v>1</v>
      </c>
      <c r="O377" s="172">
        <f>SUMPRODUCT(--(PARCELLAIRE!H$2:H$58=UTILISATIONS!N377))</f>
        <v>0</v>
      </c>
    </row>
    <row r="378" spans="1:15" ht="15">
      <c r="A378" s="105">
        <v>2014</v>
      </c>
      <c r="B378" s="105" t="str">
        <f>INDEX(PARCELLAIRE!$B$2:$B$29,MATCH(UTILISATIONS!C378,PARCELLAIRE!$D$2:$D$29,0))</f>
        <v xml:space="preserve">BLE DUR </v>
      </c>
      <c r="C378" s="105" t="s">
        <v>151</v>
      </c>
      <c r="D378" s="106">
        <v>41514</v>
      </c>
      <c r="E378" s="116" t="s">
        <v>142</v>
      </c>
      <c r="F378" s="105" t="s">
        <v>68</v>
      </c>
      <c r="G378" s="105" t="str">
        <f>VLOOKUP(E378,ACHATS!$C:$D,2,0)</f>
        <v>ENGRAIS</v>
      </c>
      <c r="H378" s="107">
        <v>200</v>
      </c>
      <c r="I378" s="107">
        <f>VLOOKUP(C378,PARCELLAIRE!$D$2:$F$29,3,0)</f>
        <v>7.58</v>
      </c>
      <c r="J378" s="107">
        <f t="shared" si="20"/>
        <v>1516</v>
      </c>
      <c r="K378" s="107">
        <f>VLOOKUP(E378,'COUT MOYEN'!$B$1:$E$71,4,0)</f>
        <v>1</v>
      </c>
      <c r="L378" s="108">
        <f t="shared" si="26"/>
        <v>1516</v>
      </c>
      <c r="M378" s="108"/>
      <c r="N378" s="63">
        <f t="shared" si="21"/>
        <v>1</v>
      </c>
      <c r="O378" s="172">
        <f>SUMPRODUCT(--(PARCELLAIRE!H$2:H$58=UTILISATIONS!N378))</f>
        <v>0</v>
      </c>
    </row>
    <row r="379" spans="1:15" ht="15">
      <c r="A379" s="105">
        <v>2014</v>
      </c>
      <c r="B379" s="105" t="str">
        <f>INDEX(PARCELLAIRE!$B$2:$B$29,MATCH(UTILISATIONS!C379,PARCELLAIRE!$D$2:$D$29,0))</f>
        <v xml:space="preserve">BLE DUR </v>
      </c>
      <c r="C379" s="105" t="s">
        <v>153</v>
      </c>
      <c r="D379" s="106">
        <v>41515</v>
      </c>
      <c r="E379" s="116" t="s">
        <v>142</v>
      </c>
      <c r="F379" s="105" t="s">
        <v>68</v>
      </c>
      <c r="G379" s="105" t="str">
        <f>VLOOKUP(E379,ACHATS!$C:$D,2,0)</f>
        <v>ENGRAIS</v>
      </c>
      <c r="H379" s="107">
        <v>200</v>
      </c>
      <c r="I379" s="107">
        <f>VLOOKUP(C379,PARCELLAIRE!$D$2:$F$29,3,0)</f>
        <v>7.5</v>
      </c>
      <c r="J379" s="107">
        <f t="shared" si="20"/>
        <v>1500</v>
      </c>
      <c r="K379" s="107">
        <f>VLOOKUP(E379,'COUT MOYEN'!$B$1:$E$71,4,0)</f>
        <v>1</v>
      </c>
      <c r="L379" s="108">
        <f t="shared" si="26"/>
        <v>1500</v>
      </c>
      <c r="M379" s="108"/>
      <c r="N379" s="63">
        <f t="shared" si="21"/>
        <v>1</v>
      </c>
      <c r="O379" s="172">
        <f>SUMPRODUCT(--(PARCELLAIRE!H$2:H$58=UTILISATIONS!N379))</f>
        <v>0</v>
      </c>
    </row>
    <row r="380" spans="1:15" ht="15">
      <c r="A380" s="105">
        <v>2014</v>
      </c>
      <c r="B380" s="105" t="str">
        <f>INDEX(PARCELLAIRE!$B$2:$B$29,MATCH(UTILISATIONS!C380,PARCELLAIRE!$D$2:$D$29,0))</f>
        <v xml:space="preserve">BLE DUR </v>
      </c>
      <c r="C380" s="105" t="s">
        <v>152</v>
      </c>
      <c r="D380" s="106">
        <v>41515</v>
      </c>
      <c r="E380" s="116" t="s">
        <v>142</v>
      </c>
      <c r="F380" s="105" t="s">
        <v>68</v>
      </c>
      <c r="G380" s="105" t="str">
        <f>VLOOKUP(E380,ACHATS!$C:$D,2,0)</f>
        <v>ENGRAIS</v>
      </c>
      <c r="H380" s="107">
        <v>200</v>
      </c>
      <c r="I380" s="107">
        <f>VLOOKUP(C380,PARCELLAIRE!$D$2:$F$29,3,0)</f>
        <v>1.34</v>
      </c>
      <c r="J380" s="107">
        <f t="shared" si="20"/>
        <v>268</v>
      </c>
      <c r="K380" s="107">
        <f>VLOOKUP(E380,'COUT MOYEN'!$B$1:$E$71,4,0)</f>
        <v>1</v>
      </c>
      <c r="L380" s="108">
        <f t="shared" si="26"/>
        <v>268</v>
      </c>
      <c r="M380" s="108"/>
      <c r="N380" s="63">
        <f t="shared" si="21"/>
        <v>1</v>
      </c>
      <c r="O380" s="172">
        <f>SUMPRODUCT(--(PARCELLAIRE!H$2:H$58=UTILISATIONS!N380))</f>
        <v>0</v>
      </c>
    </row>
    <row r="381" spans="1:15" ht="15">
      <c r="A381" s="105">
        <v>2014</v>
      </c>
      <c r="B381" s="105" t="str">
        <f>INDEX(PARCELLAIRE!$B$2:$B$29,MATCH(UTILISATIONS!C381,PARCELLAIRE!$D$2:$D$29,0))</f>
        <v xml:space="preserve">BLE DUR </v>
      </c>
      <c r="C381" s="105" t="s">
        <v>170</v>
      </c>
      <c r="D381" s="106">
        <v>41515</v>
      </c>
      <c r="E381" s="116" t="s">
        <v>142</v>
      </c>
      <c r="F381" s="105" t="s">
        <v>68</v>
      </c>
      <c r="G381" s="105" t="str">
        <f>VLOOKUP(E381,ACHATS!$C:$D,2,0)</f>
        <v>ENGRAIS</v>
      </c>
      <c r="H381" s="107">
        <v>200</v>
      </c>
      <c r="I381" s="107">
        <f>VLOOKUP(C381,PARCELLAIRE!$D$2:$F$29,3,0)</f>
        <v>1.26</v>
      </c>
      <c r="J381" s="107">
        <f t="shared" si="20"/>
        <v>252</v>
      </c>
      <c r="K381" s="107">
        <f>VLOOKUP(E381,'COUT MOYEN'!$B$1:$E$71,4,0)</f>
        <v>1</v>
      </c>
      <c r="L381" s="108">
        <f t="shared" si="26"/>
        <v>252</v>
      </c>
      <c r="M381" s="108"/>
      <c r="N381" s="63">
        <f t="shared" si="21"/>
        <v>1</v>
      </c>
      <c r="O381" s="172">
        <f>SUMPRODUCT(--(PARCELLAIRE!H$2:H$58=UTILISATIONS!N381))</f>
        <v>0</v>
      </c>
    </row>
    <row r="382" spans="1:15" ht="15">
      <c r="A382" s="105">
        <v>2014</v>
      </c>
      <c r="B382" s="105" t="str">
        <f>INDEX(PARCELLAIRE!$B$2:$B$29,MATCH(UTILISATIONS!C382,PARCELLAIRE!$D$2:$D$29,0))</f>
        <v xml:space="preserve">BLE DUR </v>
      </c>
      <c r="C382" s="105" t="s">
        <v>174</v>
      </c>
      <c r="D382" s="106">
        <v>41515</v>
      </c>
      <c r="E382" s="116" t="s">
        <v>142</v>
      </c>
      <c r="F382" s="105" t="s">
        <v>68</v>
      </c>
      <c r="G382" s="105" t="str">
        <f>VLOOKUP(E382,ACHATS!$C:$D,2,0)</f>
        <v>ENGRAIS</v>
      </c>
      <c r="H382" s="107">
        <v>200</v>
      </c>
      <c r="I382" s="107">
        <v>1.2</v>
      </c>
      <c r="J382" s="107">
        <f t="shared" si="20"/>
        <v>240</v>
      </c>
      <c r="K382" s="107">
        <f>VLOOKUP(E382,'COUT MOYEN'!$B$1:$E$71,4,0)</f>
        <v>1</v>
      </c>
      <c r="L382" s="108">
        <f t="shared" si="26"/>
        <v>240</v>
      </c>
      <c r="M382" s="108"/>
      <c r="N382" s="63">
        <f t="shared" si="21"/>
        <v>1</v>
      </c>
      <c r="O382" s="172">
        <f>SUMPRODUCT(--(PARCELLAIRE!H$2:H$58=UTILISATIONS!N382))</f>
        <v>0</v>
      </c>
    </row>
    <row r="383" spans="1:15" ht="15">
      <c r="A383" s="105">
        <v>2014</v>
      </c>
      <c r="B383" s="105" t="str">
        <f>INDEX(PARCELLAIRE!$B$2:$B$29,MATCH(UTILISATIONS!C383,PARCELLAIRE!$D$2:$D$29,0))</f>
        <v xml:space="preserve">BLE DUR </v>
      </c>
      <c r="C383" s="105" t="s">
        <v>176</v>
      </c>
      <c r="D383" s="106">
        <v>41515</v>
      </c>
      <c r="E383" s="116" t="s">
        <v>13</v>
      </c>
      <c r="F383" s="105" t="s">
        <v>68</v>
      </c>
      <c r="G383" s="105" t="str">
        <f>VLOOKUP(E383,ACHATS!$C:$D,2,0)</f>
        <v>ENGRAIS</v>
      </c>
      <c r="H383" s="107">
        <v>252.1</v>
      </c>
      <c r="I383" s="107">
        <f>VLOOKUP(C383,PARCELLAIRE!$D$2:$F$29,3,0)</f>
        <v>11.9</v>
      </c>
      <c r="J383" s="107">
        <f t="shared" si="20"/>
        <v>2999.9900000000002</v>
      </c>
      <c r="K383" s="107">
        <f>VLOOKUP(E383,'COUT MOYEN'!$B$1:$E$71,4,0)</f>
        <v>0.36899999999999999</v>
      </c>
      <c r="L383" s="108">
        <f t="shared" si="26"/>
        <v>1106.99631</v>
      </c>
      <c r="M383" s="108"/>
      <c r="N383" s="63">
        <f t="shared" si="21"/>
        <v>1</v>
      </c>
      <c r="O383" s="172">
        <f>SUMPRODUCT(--(PARCELLAIRE!H$2:H$58=UTILISATIONS!N383))</f>
        <v>0</v>
      </c>
    </row>
    <row r="384" spans="1:15" ht="15">
      <c r="A384" s="105">
        <v>2014</v>
      </c>
      <c r="B384" s="105" t="str">
        <f>INDEX(PARCELLAIRE!$B$2:$B$29,MATCH(UTILISATIONS!C384,PARCELLAIRE!$D$2:$D$29,0))</f>
        <v>SORGHO</v>
      </c>
      <c r="C384" s="105" t="s">
        <v>149</v>
      </c>
      <c r="D384" s="106">
        <v>41460</v>
      </c>
      <c r="E384" s="116" t="s">
        <v>193</v>
      </c>
      <c r="F384" s="105" t="s">
        <v>68</v>
      </c>
      <c r="G384" s="105" t="str">
        <f>VLOOKUP(E384,ACHATS!$C:$D,2,0)</f>
        <v>DESHERBANT</v>
      </c>
      <c r="H384" s="107">
        <v>0.83</v>
      </c>
      <c r="I384" s="107">
        <f>VLOOKUP(C384,PARCELLAIRE!$D$2:$F$29,3,0)</f>
        <v>10.93</v>
      </c>
      <c r="J384" s="107">
        <f t="shared" ref="J384" si="27">I384*H384</f>
        <v>9.0718999999999994</v>
      </c>
      <c r="K384" s="107">
        <f>VLOOKUP(E384,'COUT MOYEN'!$B$1:$E$71,4,0)</f>
        <v>1</v>
      </c>
      <c r="L384" s="108">
        <f t="shared" ref="L384" si="28">K384*J384</f>
        <v>9.0718999999999994</v>
      </c>
      <c r="M384" s="108"/>
      <c r="N384" s="63">
        <f t="shared" si="21"/>
        <v>1</v>
      </c>
      <c r="O384" s="172">
        <f>SUMPRODUCT(--(PARCELLAIRE!H$2:H$58=UTILISATIONS!N384))</f>
        <v>0</v>
      </c>
    </row>
    <row r="385" spans="1:15" ht="15">
      <c r="A385" s="105">
        <v>2014</v>
      </c>
      <c r="B385" s="105" t="str">
        <f>INDEX(PARCELLAIRE!$B$2:$B$29,MATCH(UTILISATIONS!C385,PARCELLAIRE!$D$2:$D$29,0))</f>
        <v>SORGHO</v>
      </c>
      <c r="C385" s="105" t="s">
        <v>149</v>
      </c>
      <c r="D385" s="106">
        <v>41460</v>
      </c>
      <c r="E385" s="116" t="s">
        <v>71</v>
      </c>
      <c r="F385" s="105" t="s">
        <v>68</v>
      </c>
      <c r="G385" s="105" t="str">
        <f>VLOOKUP(E385,ACHATS!$C:$D,2,0)</f>
        <v>DESHERBANT</v>
      </c>
      <c r="H385" s="107">
        <v>0.93</v>
      </c>
      <c r="I385" s="107">
        <f>VLOOKUP(C385,PARCELLAIRE!$D$2:$F$29,3,0)</f>
        <v>10.93</v>
      </c>
      <c r="J385" s="107">
        <f t="shared" ref="J385" si="29">I385*H385</f>
        <v>10.164900000000001</v>
      </c>
      <c r="K385" s="107">
        <f>VLOOKUP(E385,'COUT MOYEN'!$B$1:$E$71,4,0)</f>
        <v>21.33</v>
      </c>
      <c r="L385" s="108">
        <f t="shared" ref="L385" si="30">K385*J385</f>
        <v>216.817317</v>
      </c>
      <c r="M385" s="108"/>
      <c r="N385" s="63">
        <f t="shared" si="21"/>
        <v>1</v>
      </c>
      <c r="O385" s="172">
        <f>SUMPRODUCT(--(PARCELLAIRE!H$2:H$58=UTILISATIONS!N385))</f>
        <v>0</v>
      </c>
    </row>
    <row r="386" spans="1:15" ht="15">
      <c r="A386" s="105">
        <v>2014</v>
      </c>
      <c r="B386" s="105" t="str">
        <f>INDEX(PARCELLAIRE!$B$2:$B$29,MATCH(UTILISATIONS!C386,PARCELLAIRE!$D$2:$D$29,0))</f>
        <v>SORGHO</v>
      </c>
      <c r="C386" s="105" t="s">
        <v>149</v>
      </c>
      <c r="D386" s="106">
        <v>41460</v>
      </c>
      <c r="E386" s="116" t="s">
        <v>27</v>
      </c>
      <c r="F386" s="105" t="s">
        <v>68</v>
      </c>
      <c r="G386" s="105" t="str">
        <f>VLOOKUP(E386,ACHATS!$C:$D,2,0)</f>
        <v>DIVERS</v>
      </c>
      <c r="H386" s="107">
        <v>0.83</v>
      </c>
      <c r="I386" s="107">
        <f>VLOOKUP(C386,PARCELLAIRE!$D$2:$F$29,3,0)</f>
        <v>10.93</v>
      </c>
      <c r="J386" s="107">
        <f t="shared" ref="J386" si="31">I386*H386</f>
        <v>9.0718999999999994</v>
      </c>
      <c r="K386" s="107">
        <f>VLOOKUP(E386,'COUT MOYEN'!$B$1:$E$71,4,0)</f>
        <v>0.88</v>
      </c>
      <c r="L386" s="108">
        <f t="shared" ref="L386" si="32">K386*J386</f>
        <v>7.9832719999999995</v>
      </c>
      <c r="M386" s="108"/>
      <c r="N386" s="63">
        <f t="shared" ref="N386:N392" si="33">IF(WHEN=A386,C386,1)</f>
        <v>1</v>
      </c>
      <c r="O386" s="172">
        <f>SUMPRODUCT(--(PARCELLAIRE!H$2:H$58=UTILISATIONS!N386))</f>
        <v>0</v>
      </c>
    </row>
    <row r="387" spans="1:15" ht="15">
      <c r="B387" s="105"/>
      <c r="E387" s="116"/>
      <c r="H387" s="107"/>
      <c r="I387" s="107"/>
      <c r="J387" s="107"/>
      <c r="K387" s="107"/>
      <c r="L387" s="108"/>
      <c r="M387" s="108"/>
      <c r="N387" s="63">
        <f t="shared" si="33"/>
        <v>1</v>
      </c>
    </row>
    <row r="388" spans="1:15" ht="15">
      <c r="B388" s="105"/>
      <c r="E388" s="116"/>
      <c r="H388" s="107"/>
      <c r="I388" s="107"/>
      <c r="J388" s="107"/>
      <c r="K388" s="107"/>
      <c r="L388" s="108"/>
      <c r="M388" s="108"/>
      <c r="N388" s="63">
        <f t="shared" si="33"/>
        <v>1</v>
      </c>
    </row>
    <row r="389" spans="1:15" ht="15">
      <c r="B389" s="105"/>
      <c r="E389" s="116"/>
      <c r="H389" s="107"/>
      <c r="I389" s="107"/>
      <c r="J389" s="107"/>
      <c r="K389" s="107"/>
      <c r="L389" s="108"/>
      <c r="M389" s="108"/>
      <c r="N389" s="63">
        <f t="shared" si="33"/>
        <v>1</v>
      </c>
    </row>
    <row r="390" spans="1:15" ht="15">
      <c r="B390" s="131"/>
      <c r="L390" s="108"/>
      <c r="M390" s="108"/>
      <c r="N390" s="63">
        <f t="shared" si="33"/>
        <v>1</v>
      </c>
    </row>
    <row r="391" spans="1:15" ht="15">
      <c r="B391" s="131"/>
      <c r="L391" s="108"/>
      <c r="M391" s="108"/>
      <c r="N391" s="63">
        <f t="shared" si="33"/>
        <v>1</v>
      </c>
    </row>
    <row r="392" spans="1:15" ht="15">
      <c r="B392" s="131"/>
      <c r="L392" s="108"/>
      <c r="M392" s="108"/>
      <c r="N392" s="63">
        <f t="shared" si="33"/>
        <v>1</v>
      </c>
    </row>
    <row r="393" spans="1:15" ht="15">
      <c r="B393" s="131"/>
      <c r="L393" s="108"/>
      <c r="M393" s="108"/>
      <c r="N393" s="63">
        <f t="shared" ref="N390:N421" si="34">IF(WHEN=A393,C393,1)</f>
        <v>1</v>
      </c>
    </row>
    <row r="394" spans="1:15" ht="15">
      <c r="B394" s="131"/>
      <c r="L394" s="108"/>
      <c r="M394" s="108"/>
      <c r="N394" s="63">
        <f t="shared" si="34"/>
        <v>1</v>
      </c>
    </row>
    <row r="395" spans="1:15" ht="15">
      <c r="B395" s="131"/>
      <c r="L395" s="108"/>
      <c r="M395" s="108"/>
      <c r="N395" s="63">
        <f t="shared" si="34"/>
        <v>1</v>
      </c>
    </row>
    <row r="396" spans="1:15" ht="15">
      <c r="B396" s="131"/>
      <c r="L396" s="108"/>
      <c r="M396" s="108"/>
      <c r="N396" s="63">
        <f t="shared" si="34"/>
        <v>1</v>
      </c>
    </row>
    <row r="397" spans="1:15" ht="15">
      <c r="B397" s="131"/>
      <c r="L397" s="108"/>
      <c r="M397" s="108"/>
      <c r="N397" s="63">
        <f t="shared" si="34"/>
        <v>1</v>
      </c>
    </row>
    <row r="398" spans="1:15" ht="15">
      <c r="B398" s="131"/>
      <c r="L398" s="108"/>
      <c r="M398" s="108"/>
      <c r="N398" s="63">
        <f t="shared" si="34"/>
        <v>1</v>
      </c>
    </row>
    <row r="399" spans="1:15" ht="15">
      <c r="B399" s="131"/>
      <c r="L399" s="108"/>
      <c r="M399" s="108"/>
      <c r="N399" s="63">
        <f t="shared" si="34"/>
        <v>1</v>
      </c>
    </row>
    <row r="400" spans="1:15" ht="15">
      <c r="B400" s="131"/>
      <c r="L400" s="108"/>
      <c r="M400" s="108"/>
      <c r="N400" s="63">
        <f t="shared" si="34"/>
        <v>1</v>
      </c>
    </row>
    <row r="401" spans="2:14" ht="15">
      <c r="B401" s="131"/>
      <c r="L401" s="108"/>
      <c r="M401" s="108"/>
      <c r="N401" s="63">
        <f t="shared" si="34"/>
        <v>1</v>
      </c>
    </row>
    <row r="402" spans="2:14" ht="15">
      <c r="B402" s="131"/>
      <c r="L402" s="108"/>
      <c r="M402" s="108"/>
      <c r="N402" s="63">
        <f t="shared" si="34"/>
        <v>1</v>
      </c>
    </row>
    <row r="403" spans="2:14" ht="15">
      <c r="B403" s="131"/>
      <c r="L403" s="108"/>
      <c r="M403" s="108"/>
      <c r="N403" s="63">
        <f t="shared" si="34"/>
        <v>1</v>
      </c>
    </row>
    <row r="404" spans="2:14" ht="15">
      <c r="B404" s="131"/>
      <c r="L404" s="108"/>
      <c r="M404" s="108"/>
      <c r="N404" s="63">
        <f t="shared" si="34"/>
        <v>1</v>
      </c>
    </row>
    <row r="405" spans="2:14" ht="15">
      <c r="B405" s="131"/>
      <c r="L405" s="108"/>
      <c r="M405" s="108"/>
      <c r="N405" s="63">
        <f t="shared" si="34"/>
        <v>1</v>
      </c>
    </row>
    <row r="406" spans="2:14" ht="15">
      <c r="B406" s="131"/>
      <c r="L406" s="108"/>
      <c r="M406" s="108"/>
      <c r="N406" s="63">
        <f t="shared" si="34"/>
        <v>1</v>
      </c>
    </row>
    <row r="407" spans="2:14" ht="15">
      <c r="B407" s="131"/>
      <c r="L407" s="108"/>
      <c r="M407" s="108"/>
      <c r="N407" s="63">
        <f t="shared" si="34"/>
        <v>1</v>
      </c>
    </row>
    <row r="408" spans="2:14" ht="15">
      <c r="B408" s="131"/>
      <c r="L408" s="108"/>
      <c r="M408" s="108"/>
      <c r="N408" s="63">
        <f t="shared" si="34"/>
        <v>1</v>
      </c>
    </row>
    <row r="409" spans="2:14" ht="15">
      <c r="B409" s="131"/>
      <c r="L409" s="108"/>
      <c r="M409" s="108"/>
      <c r="N409" s="63">
        <f t="shared" si="34"/>
        <v>1</v>
      </c>
    </row>
    <row r="410" spans="2:14" ht="15">
      <c r="B410" s="131"/>
      <c r="L410" s="108"/>
      <c r="M410" s="108"/>
      <c r="N410" s="63">
        <f t="shared" si="34"/>
        <v>1</v>
      </c>
    </row>
    <row r="411" spans="2:14" ht="15">
      <c r="B411" s="131"/>
      <c r="L411" s="108"/>
      <c r="M411" s="108"/>
      <c r="N411" s="63">
        <f t="shared" si="34"/>
        <v>1</v>
      </c>
    </row>
    <row r="412" spans="2:14" ht="15">
      <c r="B412" s="131"/>
      <c r="L412" s="108"/>
      <c r="M412" s="108"/>
      <c r="N412" s="63">
        <f t="shared" si="34"/>
        <v>1</v>
      </c>
    </row>
    <row r="413" spans="2:14" ht="15">
      <c r="B413" s="131"/>
      <c r="L413" s="108"/>
      <c r="M413" s="108"/>
      <c r="N413" s="63">
        <f t="shared" si="34"/>
        <v>1</v>
      </c>
    </row>
    <row r="414" spans="2:14" ht="15">
      <c r="B414" s="131"/>
      <c r="L414" s="108"/>
      <c r="M414" s="108"/>
      <c r="N414" s="63">
        <f t="shared" si="34"/>
        <v>1</v>
      </c>
    </row>
    <row r="415" spans="2:14" ht="15">
      <c r="B415" s="131"/>
      <c r="L415" s="108"/>
      <c r="M415" s="108"/>
      <c r="N415" s="63">
        <f t="shared" si="34"/>
        <v>1</v>
      </c>
    </row>
    <row r="416" spans="2:14" ht="15">
      <c r="B416" s="131"/>
      <c r="L416" s="108"/>
      <c r="M416" s="108"/>
      <c r="N416" s="63">
        <f t="shared" si="34"/>
        <v>1</v>
      </c>
    </row>
    <row r="417" spans="2:14" ht="15">
      <c r="B417" s="131"/>
      <c r="L417" s="108"/>
      <c r="M417" s="108"/>
      <c r="N417" s="63">
        <f t="shared" si="34"/>
        <v>1</v>
      </c>
    </row>
    <row r="418" spans="2:14" ht="15">
      <c r="B418" s="131"/>
      <c r="L418" s="108"/>
      <c r="M418" s="108"/>
      <c r="N418" s="63">
        <f t="shared" si="34"/>
        <v>1</v>
      </c>
    </row>
    <row r="419" spans="2:14" ht="15">
      <c r="B419" s="131"/>
      <c r="L419" s="108"/>
      <c r="M419" s="108"/>
      <c r="N419" s="63">
        <f t="shared" si="34"/>
        <v>1</v>
      </c>
    </row>
    <row r="420" spans="2:14" ht="15">
      <c r="B420" s="131"/>
      <c r="L420" s="108"/>
      <c r="M420" s="108"/>
      <c r="N420" s="63">
        <f t="shared" si="34"/>
        <v>1</v>
      </c>
    </row>
    <row r="421" spans="2:14" ht="15">
      <c r="B421" s="131"/>
      <c r="L421" s="108"/>
      <c r="M421" s="108"/>
      <c r="N421" s="63">
        <f t="shared" si="34"/>
        <v>1</v>
      </c>
    </row>
    <row r="422" spans="2:14" ht="15">
      <c r="B422" s="131"/>
      <c r="L422" s="108"/>
      <c r="M422" s="108"/>
      <c r="N422" s="63">
        <f t="shared" ref="N422:N453" si="35">IF(WHEN=A422,C422,1)</f>
        <v>1</v>
      </c>
    </row>
    <row r="423" spans="2:14" ht="15">
      <c r="B423" s="131"/>
      <c r="L423" s="108"/>
      <c r="M423" s="108"/>
      <c r="N423" s="63">
        <f t="shared" si="35"/>
        <v>1</v>
      </c>
    </row>
    <row r="424" spans="2:14" ht="15">
      <c r="B424" s="131"/>
      <c r="L424" s="108"/>
      <c r="M424" s="108"/>
      <c r="N424" s="63">
        <f t="shared" si="35"/>
        <v>1</v>
      </c>
    </row>
    <row r="425" spans="2:14" ht="15">
      <c r="B425" s="131"/>
      <c r="L425" s="108"/>
      <c r="M425" s="108"/>
      <c r="N425" s="63">
        <f t="shared" si="35"/>
        <v>1</v>
      </c>
    </row>
    <row r="426" spans="2:14" ht="15">
      <c r="B426" s="131"/>
      <c r="L426" s="108"/>
      <c r="M426" s="108"/>
      <c r="N426" s="63">
        <f t="shared" si="35"/>
        <v>1</v>
      </c>
    </row>
    <row r="427" spans="2:14" ht="15">
      <c r="B427" s="131"/>
      <c r="L427" s="108"/>
      <c r="M427" s="108"/>
      <c r="N427" s="63">
        <f t="shared" si="35"/>
        <v>1</v>
      </c>
    </row>
    <row r="428" spans="2:14" ht="15">
      <c r="B428" s="131"/>
      <c r="L428" s="108"/>
      <c r="M428" s="108"/>
      <c r="N428" s="63">
        <f t="shared" si="35"/>
        <v>1</v>
      </c>
    </row>
    <row r="429" spans="2:14" ht="15">
      <c r="B429" s="131"/>
      <c r="L429" s="108"/>
      <c r="M429" s="108"/>
      <c r="N429" s="63">
        <f t="shared" si="35"/>
        <v>1</v>
      </c>
    </row>
    <row r="430" spans="2:14" ht="15">
      <c r="B430" s="131"/>
      <c r="L430" s="108"/>
      <c r="M430" s="108"/>
      <c r="N430" s="63">
        <f t="shared" si="35"/>
        <v>1</v>
      </c>
    </row>
    <row r="431" spans="2:14" ht="15">
      <c r="B431" s="131"/>
      <c r="L431" s="108"/>
      <c r="M431" s="108"/>
      <c r="N431" s="63">
        <f t="shared" si="35"/>
        <v>1</v>
      </c>
    </row>
    <row r="432" spans="2:14" ht="15">
      <c r="B432" s="131"/>
      <c r="L432" s="108"/>
      <c r="M432" s="108"/>
      <c r="N432" s="63">
        <f t="shared" si="35"/>
        <v>1</v>
      </c>
    </row>
    <row r="433" spans="2:14" ht="15">
      <c r="B433" s="131"/>
      <c r="L433" s="108"/>
      <c r="M433" s="108"/>
      <c r="N433" s="63">
        <f t="shared" si="35"/>
        <v>1</v>
      </c>
    </row>
    <row r="434" spans="2:14" ht="15">
      <c r="B434" s="131"/>
      <c r="L434" s="108"/>
      <c r="M434" s="108"/>
      <c r="N434" s="63">
        <f t="shared" si="35"/>
        <v>1</v>
      </c>
    </row>
    <row r="435" spans="2:14" ht="15">
      <c r="B435" s="131"/>
      <c r="L435" s="108"/>
      <c r="M435" s="108"/>
      <c r="N435" s="63">
        <f t="shared" si="35"/>
        <v>1</v>
      </c>
    </row>
    <row r="436" spans="2:14" ht="15">
      <c r="B436" s="131"/>
      <c r="L436" s="108"/>
      <c r="M436" s="108"/>
      <c r="N436" s="63">
        <f t="shared" si="35"/>
        <v>1</v>
      </c>
    </row>
    <row r="437" spans="2:14" ht="15">
      <c r="B437" s="131"/>
      <c r="L437" s="108"/>
      <c r="M437" s="108"/>
      <c r="N437" s="63">
        <f t="shared" si="35"/>
        <v>1</v>
      </c>
    </row>
    <row r="438" spans="2:14" ht="15">
      <c r="B438" s="131"/>
      <c r="L438" s="108"/>
      <c r="M438" s="108"/>
      <c r="N438" s="63">
        <f t="shared" si="35"/>
        <v>1</v>
      </c>
    </row>
    <row r="439" spans="2:14" ht="15">
      <c r="B439" s="131"/>
      <c r="L439" s="108"/>
      <c r="M439" s="108"/>
      <c r="N439" s="63">
        <f t="shared" si="35"/>
        <v>1</v>
      </c>
    </row>
    <row r="440" spans="2:14" ht="15">
      <c r="B440" s="131"/>
      <c r="L440" s="108"/>
      <c r="M440" s="108"/>
      <c r="N440" s="63">
        <f t="shared" si="35"/>
        <v>1</v>
      </c>
    </row>
    <row r="441" spans="2:14" ht="15">
      <c r="B441" s="131"/>
      <c r="L441" s="108"/>
      <c r="M441" s="108"/>
      <c r="N441" s="63">
        <f t="shared" si="35"/>
        <v>1</v>
      </c>
    </row>
    <row r="442" spans="2:14" ht="15">
      <c r="B442" s="131"/>
      <c r="L442" s="108"/>
      <c r="M442" s="108"/>
      <c r="N442" s="63">
        <f t="shared" si="35"/>
        <v>1</v>
      </c>
    </row>
    <row r="443" spans="2:14" ht="15">
      <c r="B443" s="131"/>
      <c r="L443" s="108"/>
      <c r="M443" s="108"/>
      <c r="N443" s="63">
        <f t="shared" si="35"/>
        <v>1</v>
      </c>
    </row>
    <row r="444" spans="2:14" ht="15">
      <c r="B444" s="131"/>
      <c r="L444" s="108"/>
      <c r="M444" s="108"/>
      <c r="N444" s="63">
        <f t="shared" si="35"/>
        <v>1</v>
      </c>
    </row>
    <row r="445" spans="2:14" ht="15">
      <c r="B445" s="131"/>
      <c r="L445" s="108"/>
      <c r="M445" s="108"/>
      <c r="N445" s="63">
        <f t="shared" si="35"/>
        <v>1</v>
      </c>
    </row>
    <row r="446" spans="2:14" ht="15">
      <c r="B446" s="131"/>
      <c r="L446" s="108"/>
      <c r="M446" s="108"/>
      <c r="N446" s="63">
        <f t="shared" si="35"/>
        <v>1</v>
      </c>
    </row>
    <row r="447" spans="2:14" ht="15">
      <c r="B447" s="131"/>
      <c r="L447" s="108"/>
      <c r="M447" s="108"/>
      <c r="N447" s="63">
        <f t="shared" si="35"/>
        <v>1</v>
      </c>
    </row>
    <row r="448" spans="2:14" ht="15">
      <c r="B448" s="131"/>
      <c r="L448" s="108"/>
      <c r="M448" s="108"/>
      <c r="N448" s="63">
        <f t="shared" si="35"/>
        <v>1</v>
      </c>
    </row>
    <row r="449" spans="2:14" ht="15">
      <c r="B449" s="131"/>
      <c r="L449" s="108"/>
      <c r="M449" s="108"/>
      <c r="N449" s="63">
        <f t="shared" si="35"/>
        <v>1</v>
      </c>
    </row>
    <row r="450" spans="2:14" ht="15">
      <c r="B450" s="131"/>
      <c r="L450" s="108"/>
      <c r="M450" s="108"/>
      <c r="N450" s="63">
        <f t="shared" si="35"/>
        <v>1</v>
      </c>
    </row>
    <row r="451" spans="2:14" ht="15">
      <c r="B451" s="131"/>
      <c r="L451" s="108"/>
      <c r="M451" s="108"/>
      <c r="N451" s="63">
        <f t="shared" si="35"/>
        <v>1</v>
      </c>
    </row>
    <row r="452" spans="2:14" ht="15">
      <c r="B452" s="131"/>
      <c r="L452" s="108"/>
      <c r="M452" s="108"/>
      <c r="N452" s="63">
        <f t="shared" si="35"/>
        <v>1</v>
      </c>
    </row>
    <row r="453" spans="2:14" ht="15">
      <c r="B453" s="131"/>
      <c r="L453" s="108"/>
      <c r="M453" s="108"/>
      <c r="N453" s="63">
        <f t="shared" si="35"/>
        <v>1</v>
      </c>
    </row>
    <row r="454" spans="2:14" ht="15">
      <c r="B454" s="131"/>
      <c r="L454" s="108"/>
      <c r="M454" s="108"/>
      <c r="N454" s="63">
        <f t="shared" ref="N454:N485" si="36">IF(WHEN=A454,C454,1)</f>
        <v>1</v>
      </c>
    </row>
    <row r="455" spans="2:14" ht="15">
      <c r="B455" s="131"/>
      <c r="L455" s="108"/>
      <c r="M455" s="108"/>
      <c r="N455" s="63">
        <f t="shared" si="36"/>
        <v>1</v>
      </c>
    </row>
    <row r="456" spans="2:14" ht="15">
      <c r="B456" s="131"/>
      <c r="L456" s="108"/>
      <c r="M456" s="108"/>
      <c r="N456" s="63">
        <f t="shared" si="36"/>
        <v>1</v>
      </c>
    </row>
    <row r="457" spans="2:14" ht="15">
      <c r="B457" s="131"/>
      <c r="L457" s="108"/>
      <c r="M457" s="108"/>
      <c r="N457" s="63">
        <f t="shared" si="36"/>
        <v>1</v>
      </c>
    </row>
    <row r="458" spans="2:14" ht="15">
      <c r="B458" s="131"/>
      <c r="L458" s="108"/>
      <c r="M458" s="108"/>
      <c r="N458" s="63">
        <f t="shared" si="36"/>
        <v>1</v>
      </c>
    </row>
    <row r="459" spans="2:14" ht="15">
      <c r="B459" s="131"/>
      <c r="L459" s="108"/>
      <c r="M459" s="108"/>
      <c r="N459" s="63">
        <f t="shared" si="36"/>
        <v>1</v>
      </c>
    </row>
    <row r="460" spans="2:14" ht="15">
      <c r="B460" s="131"/>
      <c r="L460" s="108"/>
      <c r="M460" s="108"/>
      <c r="N460" s="63">
        <f t="shared" si="36"/>
        <v>1</v>
      </c>
    </row>
    <row r="461" spans="2:14" ht="15">
      <c r="B461" s="131"/>
      <c r="L461" s="108"/>
      <c r="M461" s="108"/>
      <c r="N461" s="63">
        <f t="shared" si="36"/>
        <v>1</v>
      </c>
    </row>
    <row r="462" spans="2:14" ht="15">
      <c r="B462" s="131"/>
      <c r="L462" s="108"/>
      <c r="M462" s="108"/>
      <c r="N462" s="63">
        <f t="shared" si="36"/>
        <v>1</v>
      </c>
    </row>
    <row r="463" spans="2:14" ht="15">
      <c r="B463" s="131"/>
      <c r="L463" s="108"/>
      <c r="M463" s="108"/>
      <c r="N463" s="63">
        <f t="shared" si="36"/>
        <v>1</v>
      </c>
    </row>
    <row r="464" spans="2:14" ht="15">
      <c r="B464" s="131"/>
      <c r="L464" s="108"/>
      <c r="M464" s="108"/>
      <c r="N464" s="63">
        <f t="shared" si="36"/>
        <v>1</v>
      </c>
    </row>
    <row r="465" spans="2:14" ht="15">
      <c r="B465" s="131"/>
      <c r="L465" s="108"/>
      <c r="M465" s="108"/>
      <c r="N465" s="63">
        <f t="shared" si="36"/>
        <v>1</v>
      </c>
    </row>
    <row r="466" spans="2:14" ht="15">
      <c r="B466" s="131"/>
      <c r="L466" s="108"/>
      <c r="M466" s="108"/>
      <c r="N466" s="63">
        <f t="shared" si="36"/>
        <v>1</v>
      </c>
    </row>
    <row r="467" spans="2:14" ht="15">
      <c r="B467" s="131"/>
      <c r="L467" s="108"/>
      <c r="M467" s="108"/>
      <c r="N467" s="63">
        <f t="shared" si="36"/>
        <v>1</v>
      </c>
    </row>
    <row r="468" spans="2:14" ht="15">
      <c r="B468" s="131"/>
      <c r="L468" s="108"/>
      <c r="M468" s="108"/>
      <c r="N468" s="63">
        <f t="shared" si="36"/>
        <v>1</v>
      </c>
    </row>
    <row r="469" spans="2:14" ht="15">
      <c r="B469" s="131"/>
      <c r="L469" s="108"/>
      <c r="M469" s="108"/>
      <c r="N469" s="63">
        <f t="shared" si="36"/>
        <v>1</v>
      </c>
    </row>
    <row r="470" spans="2:14" ht="15">
      <c r="B470" s="131"/>
      <c r="L470" s="108"/>
      <c r="M470" s="108"/>
      <c r="N470" s="63">
        <f t="shared" si="36"/>
        <v>1</v>
      </c>
    </row>
    <row r="471" spans="2:14" ht="15">
      <c r="B471" s="131"/>
      <c r="L471" s="108"/>
      <c r="M471" s="108"/>
      <c r="N471" s="63">
        <f t="shared" si="36"/>
        <v>1</v>
      </c>
    </row>
    <row r="472" spans="2:14" ht="15">
      <c r="B472" s="131"/>
      <c r="L472" s="108"/>
      <c r="M472" s="108"/>
      <c r="N472" s="63">
        <f t="shared" si="36"/>
        <v>1</v>
      </c>
    </row>
    <row r="473" spans="2:14" ht="15">
      <c r="B473" s="131"/>
      <c r="L473" s="108"/>
      <c r="M473" s="108"/>
      <c r="N473" s="63">
        <f t="shared" si="36"/>
        <v>1</v>
      </c>
    </row>
    <row r="474" spans="2:14" ht="15">
      <c r="B474" s="131"/>
      <c r="L474" s="108"/>
      <c r="M474" s="108"/>
      <c r="N474" s="63">
        <f t="shared" si="36"/>
        <v>1</v>
      </c>
    </row>
    <row r="475" spans="2:14" ht="15">
      <c r="B475" s="131"/>
      <c r="L475" s="108"/>
      <c r="M475" s="108"/>
      <c r="N475" s="63">
        <f t="shared" si="36"/>
        <v>1</v>
      </c>
    </row>
    <row r="476" spans="2:14" ht="15">
      <c r="B476" s="131"/>
      <c r="L476" s="108"/>
      <c r="M476" s="108"/>
      <c r="N476" s="63">
        <f t="shared" si="36"/>
        <v>1</v>
      </c>
    </row>
    <row r="477" spans="2:14" ht="15">
      <c r="B477" s="131"/>
      <c r="L477" s="108"/>
      <c r="M477" s="108"/>
      <c r="N477" s="63">
        <f t="shared" si="36"/>
        <v>1</v>
      </c>
    </row>
    <row r="478" spans="2:14" ht="15">
      <c r="B478" s="131"/>
      <c r="L478" s="108"/>
      <c r="M478" s="108"/>
      <c r="N478" s="63">
        <f t="shared" si="36"/>
        <v>1</v>
      </c>
    </row>
    <row r="479" spans="2:14" ht="15">
      <c r="B479" s="131"/>
      <c r="L479" s="108"/>
      <c r="M479" s="108"/>
      <c r="N479" s="63">
        <f t="shared" si="36"/>
        <v>1</v>
      </c>
    </row>
    <row r="480" spans="2:14" ht="15">
      <c r="B480" s="131"/>
      <c r="L480" s="108"/>
      <c r="M480" s="108"/>
      <c r="N480" s="63">
        <f t="shared" si="36"/>
        <v>1</v>
      </c>
    </row>
    <row r="481" spans="2:14" ht="15">
      <c r="B481" s="131"/>
      <c r="L481" s="108"/>
      <c r="M481" s="108"/>
      <c r="N481" s="63">
        <f t="shared" si="36"/>
        <v>1</v>
      </c>
    </row>
    <row r="482" spans="2:14" ht="15">
      <c r="B482" s="131"/>
      <c r="L482" s="108"/>
      <c r="M482" s="108"/>
      <c r="N482" s="63">
        <f t="shared" si="36"/>
        <v>1</v>
      </c>
    </row>
    <row r="483" spans="2:14" ht="15">
      <c r="B483" s="131"/>
      <c r="L483" s="108"/>
      <c r="M483" s="108"/>
      <c r="N483" s="63">
        <f t="shared" si="36"/>
        <v>1</v>
      </c>
    </row>
    <row r="484" spans="2:14" ht="15">
      <c r="B484" s="131"/>
      <c r="L484" s="108"/>
      <c r="M484" s="108"/>
      <c r="N484" s="63">
        <f t="shared" si="36"/>
        <v>1</v>
      </c>
    </row>
    <row r="485" spans="2:14" ht="15">
      <c r="B485" s="131"/>
      <c r="L485" s="108"/>
      <c r="M485" s="108"/>
      <c r="N485" s="63">
        <f t="shared" si="36"/>
        <v>1</v>
      </c>
    </row>
    <row r="486" spans="2:14" ht="15">
      <c r="B486" s="131"/>
      <c r="L486" s="108"/>
      <c r="M486" s="108"/>
      <c r="N486" s="63">
        <f t="shared" ref="N486:N517" si="37">IF(WHEN=A486,C486,1)</f>
        <v>1</v>
      </c>
    </row>
    <row r="487" spans="2:14" ht="15">
      <c r="B487" s="131"/>
      <c r="L487" s="108"/>
      <c r="M487" s="108"/>
      <c r="N487" s="63">
        <f t="shared" si="37"/>
        <v>1</v>
      </c>
    </row>
    <row r="488" spans="2:14" ht="15">
      <c r="B488" s="131"/>
      <c r="L488" s="108"/>
      <c r="M488" s="108"/>
      <c r="N488" s="63">
        <f t="shared" si="37"/>
        <v>1</v>
      </c>
    </row>
    <row r="489" spans="2:14" ht="15">
      <c r="B489" s="131"/>
      <c r="L489" s="108"/>
      <c r="M489" s="108"/>
      <c r="N489" s="63">
        <f t="shared" si="37"/>
        <v>1</v>
      </c>
    </row>
    <row r="490" spans="2:14" ht="15">
      <c r="B490" s="131"/>
      <c r="L490" s="108"/>
      <c r="M490" s="108"/>
      <c r="N490" s="63">
        <f t="shared" si="37"/>
        <v>1</v>
      </c>
    </row>
    <row r="491" spans="2:14" ht="15">
      <c r="B491" s="131"/>
      <c r="L491" s="108"/>
      <c r="M491" s="108"/>
      <c r="N491" s="63">
        <f t="shared" si="37"/>
        <v>1</v>
      </c>
    </row>
    <row r="492" spans="2:14" ht="15">
      <c r="B492" s="131"/>
      <c r="L492" s="108"/>
      <c r="M492" s="108"/>
      <c r="N492" s="63">
        <f t="shared" si="37"/>
        <v>1</v>
      </c>
    </row>
    <row r="493" spans="2:14" ht="15">
      <c r="B493" s="131"/>
      <c r="L493" s="108"/>
      <c r="M493" s="108"/>
      <c r="N493" s="63">
        <f t="shared" si="37"/>
        <v>1</v>
      </c>
    </row>
    <row r="494" spans="2:14" ht="15">
      <c r="B494" s="131"/>
      <c r="L494" s="108"/>
      <c r="M494" s="108"/>
      <c r="N494" s="63">
        <f t="shared" si="37"/>
        <v>1</v>
      </c>
    </row>
    <row r="495" spans="2:14" ht="15">
      <c r="B495" s="131"/>
      <c r="L495" s="108"/>
      <c r="M495" s="108"/>
      <c r="N495" s="63">
        <f t="shared" si="37"/>
        <v>1</v>
      </c>
    </row>
    <row r="496" spans="2:14" ht="15">
      <c r="B496" s="131"/>
      <c r="L496" s="108"/>
      <c r="M496" s="108"/>
      <c r="N496" s="63">
        <f t="shared" si="37"/>
        <v>1</v>
      </c>
    </row>
    <row r="497" spans="2:14" ht="15">
      <c r="B497" s="131"/>
      <c r="L497" s="108"/>
      <c r="M497" s="108"/>
      <c r="N497" s="63">
        <f t="shared" si="37"/>
        <v>1</v>
      </c>
    </row>
    <row r="498" spans="2:14" ht="15">
      <c r="B498" s="131"/>
      <c r="L498" s="108"/>
      <c r="M498" s="108"/>
      <c r="N498" s="63">
        <f t="shared" si="37"/>
        <v>1</v>
      </c>
    </row>
    <row r="499" spans="2:14" ht="15">
      <c r="B499" s="131"/>
      <c r="L499" s="108"/>
      <c r="M499" s="108"/>
      <c r="N499" s="63">
        <f t="shared" si="37"/>
        <v>1</v>
      </c>
    </row>
    <row r="500" spans="2:14" ht="15">
      <c r="B500" s="131"/>
      <c r="L500" s="108"/>
      <c r="M500" s="108"/>
      <c r="N500" s="63">
        <f t="shared" si="37"/>
        <v>1</v>
      </c>
    </row>
    <row r="501" spans="2:14" ht="15">
      <c r="B501" s="131"/>
      <c r="L501" s="108"/>
      <c r="M501" s="108"/>
      <c r="N501" s="63">
        <f t="shared" si="37"/>
        <v>1</v>
      </c>
    </row>
    <row r="502" spans="2:14" ht="15">
      <c r="B502" s="131"/>
      <c r="L502" s="108"/>
      <c r="M502" s="108"/>
      <c r="N502" s="63">
        <f t="shared" si="37"/>
        <v>1</v>
      </c>
    </row>
    <row r="503" spans="2:14" ht="15">
      <c r="B503" s="131"/>
      <c r="L503" s="108"/>
      <c r="M503" s="108"/>
      <c r="N503" s="63">
        <f t="shared" si="37"/>
        <v>1</v>
      </c>
    </row>
    <row r="504" spans="2:14" ht="15">
      <c r="B504" s="131"/>
      <c r="L504" s="108"/>
      <c r="M504" s="108"/>
      <c r="N504" s="63">
        <f t="shared" si="37"/>
        <v>1</v>
      </c>
    </row>
    <row r="505" spans="2:14" ht="15">
      <c r="B505" s="131"/>
      <c r="L505" s="108"/>
      <c r="M505" s="108"/>
      <c r="N505" s="63">
        <f t="shared" si="37"/>
        <v>1</v>
      </c>
    </row>
    <row r="506" spans="2:14" ht="15">
      <c r="B506" s="131"/>
      <c r="L506" s="108"/>
      <c r="M506" s="108"/>
      <c r="N506" s="63">
        <f t="shared" si="37"/>
        <v>1</v>
      </c>
    </row>
    <row r="507" spans="2:14" ht="15">
      <c r="B507" s="131"/>
      <c r="L507" s="108"/>
      <c r="M507" s="108"/>
      <c r="N507" s="63">
        <f t="shared" si="37"/>
        <v>1</v>
      </c>
    </row>
    <row r="508" spans="2:14" ht="15">
      <c r="B508" s="131"/>
      <c r="L508" s="108"/>
      <c r="M508" s="108"/>
      <c r="N508" s="63">
        <f t="shared" si="37"/>
        <v>1</v>
      </c>
    </row>
    <row r="509" spans="2:14" ht="15">
      <c r="B509" s="131"/>
      <c r="L509" s="108"/>
      <c r="M509" s="108"/>
      <c r="N509" s="63">
        <f t="shared" si="37"/>
        <v>1</v>
      </c>
    </row>
    <row r="510" spans="2:14" ht="15">
      <c r="B510" s="131"/>
      <c r="L510" s="108"/>
      <c r="M510" s="108"/>
      <c r="N510" s="63">
        <f t="shared" si="37"/>
        <v>1</v>
      </c>
    </row>
    <row r="511" spans="2:14" ht="15">
      <c r="B511" s="131"/>
      <c r="L511" s="108"/>
      <c r="M511" s="108"/>
      <c r="N511" s="63">
        <f t="shared" si="37"/>
        <v>1</v>
      </c>
    </row>
    <row r="512" spans="2:14" ht="15">
      <c r="B512" s="131"/>
      <c r="L512" s="108"/>
      <c r="M512" s="108"/>
      <c r="N512" s="63">
        <f t="shared" si="37"/>
        <v>1</v>
      </c>
    </row>
    <row r="513" spans="2:14" ht="15">
      <c r="B513" s="131"/>
      <c r="L513" s="108"/>
      <c r="M513" s="108"/>
      <c r="N513" s="63">
        <f t="shared" si="37"/>
        <v>1</v>
      </c>
    </row>
    <row r="514" spans="2:14" ht="15">
      <c r="B514" s="131"/>
      <c r="L514" s="108"/>
      <c r="M514" s="108"/>
      <c r="N514" s="63">
        <f t="shared" si="37"/>
        <v>1</v>
      </c>
    </row>
    <row r="515" spans="2:14" ht="15">
      <c r="B515" s="131"/>
      <c r="L515" s="108"/>
      <c r="M515" s="108"/>
      <c r="N515" s="63">
        <f t="shared" si="37"/>
        <v>1</v>
      </c>
    </row>
    <row r="516" spans="2:14" ht="15">
      <c r="B516" s="131"/>
      <c r="L516" s="108"/>
      <c r="M516" s="108"/>
      <c r="N516" s="63">
        <f t="shared" si="37"/>
        <v>1</v>
      </c>
    </row>
    <row r="517" spans="2:14" ht="15">
      <c r="B517" s="131"/>
      <c r="L517" s="108"/>
      <c r="M517" s="108"/>
      <c r="N517" s="63">
        <f t="shared" si="37"/>
        <v>1</v>
      </c>
    </row>
    <row r="518" spans="2:14" ht="15">
      <c r="B518" s="131"/>
      <c r="L518" s="108"/>
      <c r="M518" s="108"/>
      <c r="N518" s="63">
        <f t="shared" ref="N518:N542" si="38">IF(WHEN=A518,C518,1)</f>
        <v>1</v>
      </c>
    </row>
    <row r="519" spans="2:14" ht="15">
      <c r="B519" s="131"/>
      <c r="L519" s="108"/>
      <c r="M519" s="108"/>
      <c r="N519" s="63">
        <f t="shared" si="38"/>
        <v>1</v>
      </c>
    </row>
    <row r="520" spans="2:14" ht="15">
      <c r="B520" s="131"/>
      <c r="L520" s="108"/>
      <c r="M520" s="108"/>
      <c r="N520" s="63">
        <f t="shared" si="38"/>
        <v>1</v>
      </c>
    </row>
    <row r="521" spans="2:14" ht="15">
      <c r="B521" s="131"/>
      <c r="L521" s="108"/>
      <c r="M521" s="108"/>
      <c r="N521" s="63">
        <f t="shared" si="38"/>
        <v>1</v>
      </c>
    </row>
    <row r="522" spans="2:14" ht="15">
      <c r="B522" s="131"/>
      <c r="L522" s="108"/>
      <c r="M522" s="108"/>
      <c r="N522" s="63">
        <f t="shared" si="38"/>
        <v>1</v>
      </c>
    </row>
    <row r="523" spans="2:14" ht="15">
      <c r="B523" s="131"/>
      <c r="L523" s="108"/>
      <c r="M523" s="108"/>
      <c r="N523" s="63">
        <f t="shared" si="38"/>
        <v>1</v>
      </c>
    </row>
    <row r="524" spans="2:14" ht="15">
      <c r="B524" s="131"/>
      <c r="L524" s="108"/>
      <c r="M524" s="108"/>
      <c r="N524" s="63">
        <f t="shared" si="38"/>
        <v>1</v>
      </c>
    </row>
    <row r="525" spans="2:14" ht="15">
      <c r="B525" s="131"/>
      <c r="L525" s="108"/>
      <c r="M525" s="108"/>
      <c r="N525" s="63">
        <f t="shared" si="38"/>
        <v>1</v>
      </c>
    </row>
    <row r="526" spans="2:14" ht="15">
      <c r="B526" s="131"/>
      <c r="L526" s="108"/>
      <c r="M526" s="108"/>
      <c r="N526" s="63">
        <f t="shared" si="38"/>
        <v>1</v>
      </c>
    </row>
    <row r="527" spans="2:14" ht="15">
      <c r="B527" s="131"/>
      <c r="L527" s="108"/>
      <c r="M527" s="108"/>
      <c r="N527" s="63">
        <f t="shared" si="38"/>
        <v>1</v>
      </c>
    </row>
    <row r="528" spans="2:14" ht="15">
      <c r="B528" s="131"/>
      <c r="L528" s="108"/>
      <c r="M528" s="108"/>
      <c r="N528" s="63">
        <f t="shared" si="38"/>
        <v>1</v>
      </c>
    </row>
    <row r="529" spans="2:14" ht="15">
      <c r="B529" s="131"/>
      <c r="L529" s="108"/>
      <c r="M529" s="108"/>
      <c r="N529" s="63">
        <f t="shared" si="38"/>
        <v>1</v>
      </c>
    </row>
    <row r="530" spans="2:14" ht="15">
      <c r="B530" s="131"/>
      <c r="L530" s="108"/>
      <c r="M530" s="108"/>
      <c r="N530" s="63">
        <f t="shared" si="38"/>
        <v>1</v>
      </c>
    </row>
    <row r="531" spans="2:14" ht="15">
      <c r="B531" s="131"/>
      <c r="L531" s="108"/>
      <c r="M531" s="108"/>
      <c r="N531" s="63">
        <f t="shared" si="38"/>
        <v>1</v>
      </c>
    </row>
    <row r="532" spans="2:14" ht="15">
      <c r="B532" s="131"/>
      <c r="L532" s="108"/>
      <c r="M532" s="108"/>
      <c r="N532" s="63">
        <f t="shared" si="38"/>
        <v>1</v>
      </c>
    </row>
    <row r="533" spans="2:14" ht="15">
      <c r="B533" s="131"/>
      <c r="L533" s="108"/>
      <c r="M533" s="108"/>
      <c r="N533" s="63">
        <f t="shared" si="38"/>
        <v>1</v>
      </c>
    </row>
    <row r="534" spans="2:14" ht="15">
      <c r="B534" s="131"/>
      <c r="L534" s="108"/>
      <c r="M534" s="108"/>
      <c r="N534" s="63">
        <f t="shared" si="38"/>
        <v>1</v>
      </c>
    </row>
    <row r="535" spans="2:14" ht="15">
      <c r="B535" s="131"/>
      <c r="L535" s="108"/>
      <c r="M535" s="108"/>
      <c r="N535" s="63">
        <f t="shared" si="38"/>
        <v>1</v>
      </c>
    </row>
    <row r="536" spans="2:14" ht="15">
      <c r="B536" s="131"/>
      <c r="L536" s="108"/>
      <c r="M536" s="108"/>
      <c r="N536" s="63">
        <f t="shared" si="38"/>
        <v>1</v>
      </c>
    </row>
    <row r="537" spans="2:14" ht="15">
      <c r="B537" s="131"/>
      <c r="L537" s="108"/>
      <c r="M537" s="108"/>
      <c r="N537" s="63">
        <f t="shared" si="38"/>
        <v>1</v>
      </c>
    </row>
    <row r="538" spans="2:14" ht="15">
      <c r="B538" s="131"/>
      <c r="L538" s="108"/>
      <c r="M538" s="108"/>
      <c r="N538" s="63">
        <f t="shared" si="38"/>
        <v>1</v>
      </c>
    </row>
    <row r="539" spans="2:14" ht="15">
      <c r="B539" s="131"/>
      <c r="L539" s="108"/>
      <c r="M539" s="108"/>
      <c r="N539" s="63">
        <f t="shared" si="38"/>
        <v>1</v>
      </c>
    </row>
    <row r="540" spans="2:14" ht="15">
      <c r="B540" s="131"/>
      <c r="L540" s="108"/>
      <c r="M540" s="108"/>
      <c r="N540" s="63">
        <f t="shared" si="38"/>
        <v>1</v>
      </c>
    </row>
    <row r="541" spans="2:14" ht="15">
      <c r="B541" s="131"/>
      <c r="L541" s="108"/>
      <c r="M541" s="108"/>
      <c r="N541" s="63">
        <f t="shared" si="38"/>
        <v>1</v>
      </c>
    </row>
    <row r="542" spans="2:14" ht="15">
      <c r="B542" s="131"/>
      <c r="L542" s="108"/>
      <c r="M542" s="108"/>
      <c r="N542" s="63">
        <f t="shared" si="38"/>
        <v>1</v>
      </c>
    </row>
    <row r="543" spans="2:14" ht="15">
      <c r="B543" s="131"/>
      <c r="L543" s="108"/>
      <c r="M543" s="108"/>
      <c r="N543" s="63"/>
    </row>
  </sheetData>
  <autoFilter ref="A1:O542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A1:H86"/>
  <sheetViews>
    <sheetView showGridLines="0" workbookViewId="0">
      <selection activeCell="H19" sqref="H19"/>
    </sheetView>
  </sheetViews>
  <sheetFormatPr baseColWidth="10" defaultRowHeight="15" x14ac:dyDescent="0"/>
  <cols>
    <col min="1" max="1" width="10.83203125" style="1"/>
    <col min="2" max="2" width="20.6640625" style="1" customWidth="1"/>
    <col min="3" max="3" width="21" style="1" customWidth="1"/>
    <col min="4" max="4" width="27.83203125" style="1" customWidth="1"/>
    <col min="5" max="5" width="8.5" style="59" bestFit="1" customWidth="1"/>
    <col min="6" max="7" width="16.33203125" style="1" customWidth="1"/>
    <col min="8" max="8" width="19.5" bestFit="1" customWidth="1"/>
    <col min="9" max="14" width="14.1640625" customWidth="1"/>
  </cols>
  <sheetData>
    <row r="1" spans="1:8" ht="17" thickBot="1">
      <c r="A1" s="36" t="s">
        <v>46</v>
      </c>
      <c r="B1" s="36" t="s">
        <v>48</v>
      </c>
      <c r="C1" s="36" t="s">
        <v>49</v>
      </c>
      <c r="D1" s="36" t="s">
        <v>61</v>
      </c>
      <c r="E1" s="37" t="s">
        <v>47</v>
      </c>
      <c r="F1" s="36" t="s">
        <v>62</v>
      </c>
      <c r="G1" s="36" t="s">
        <v>63</v>
      </c>
    </row>
    <row r="2" spans="1:8" ht="16" thickTop="1">
      <c r="A2" s="20">
        <v>2013</v>
      </c>
      <c r="B2" s="20" t="s">
        <v>76</v>
      </c>
      <c r="C2" s="20" t="s">
        <v>50</v>
      </c>
      <c r="D2" s="20" t="s">
        <v>143</v>
      </c>
      <c r="E2" s="60">
        <v>11</v>
      </c>
      <c r="F2" s="20">
        <v>5.17</v>
      </c>
      <c r="G2" s="20">
        <v>13</v>
      </c>
      <c r="H2" t="str">
        <f>IF(C2='FOCUS C'!$E$9,D2,"")</f>
        <v/>
      </c>
    </row>
    <row r="3" spans="1:8">
      <c r="A3" s="20">
        <v>2013</v>
      </c>
      <c r="B3" s="20" t="s">
        <v>78</v>
      </c>
      <c r="C3" s="20" t="s">
        <v>51</v>
      </c>
      <c r="D3" s="20" t="s">
        <v>144</v>
      </c>
      <c r="E3" s="60">
        <v>15</v>
      </c>
      <c r="F3" s="20">
        <v>5.27</v>
      </c>
      <c r="G3" s="20">
        <v>17</v>
      </c>
      <c r="H3" t="str">
        <f>IF(C3='FOCUS C'!$E$9,D3,"")</f>
        <v/>
      </c>
    </row>
    <row r="4" spans="1:8">
      <c r="A4" s="20">
        <v>2013</v>
      </c>
      <c r="B4" s="20" t="s">
        <v>76</v>
      </c>
      <c r="C4" s="20" t="s">
        <v>52</v>
      </c>
      <c r="D4" s="20" t="s">
        <v>175</v>
      </c>
      <c r="E4" s="60">
        <v>16</v>
      </c>
      <c r="F4" s="20">
        <v>2.33</v>
      </c>
      <c r="G4" s="20">
        <v>18</v>
      </c>
      <c r="H4" t="str">
        <f>IF(C4='FOCUS C'!$E$9,D4,"")</f>
        <v/>
      </c>
    </row>
    <row r="5" spans="1:8">
      <c r="A5" s="20">
        <v>2013</v>
      </c>
      <c r="B5" s="20" t="s">
        <v>53</v>
      </c>
      <c r="C5" s="20" t="s">
        <v>54</v>
      </c>
      <c r="D5" s="20" t="s">
        <v>146</v>
      </c>
      <c r="E5" s="60">
        <v>22</v>
      </c>
      <c r="F5" s="20">
        <v>4.41</v>
      </c>
      <c r="G5" s="20">
        <v>23</v>
      </c>
      <c r="H5" t="str">
        <f>IF(C5='FOCUS C'!$E$9,D5,"")</f>
        <v/>
      </c>
    </row>
    <row r="6" spans="1:8">
      <c r="A6" s="20">
        <v>2013</v>
      </c>
      <c r="B6" s="20" t="s">
        <v>78</v>
      </c>
      <c r="C6" s="20" t="s">
        <v>55</v>
      </c>
      <c r="D6" s="20" t="s">
        <v>147</v>
      </c>
      <c r="E6" s="60">
        <v>4</v>
      </c>
      <c r="F6" s="20">
        <v>5.67</v>
      </c>
      <c r="G6" s="20">
        <v>12</v>
      </c>
      <c r="H6" t="str">
        <f>IF(C6='FOCUS C'!$E$9,D6,"")</f>
        <v/>
      </c>
    </row>
    <row r="7" spans="1:8">
      <c r="A7" s="20">
        <v>2013</v>
      </c>
      <c r="B7" s="20" t="s">
        <v>78</v>
      </c>
      <c r="C7" s="20" t="s">
        <v>56</v>
      </c>
      <c r="D7" s="20" t="s">
        <v>174</v>
      </c>
      <c r="E7" s="60">
        <v>6</v>
      </c>
      <c r="F7" s="20">
        <v>12.49</v>
      </c>
      <c r="G7" s="20">
        <v>12</v>
      </c>
      <c r="H7" t="str">
        <f>IF(C7='FOCUS C'!$E$9,D7,"")</f>
        <v/>
      </c>
    </row>
    <row r="8" spans="1:8">
      <c r="A8" s="20">
        <v>2013</v>
      </c>
      <c r="B8" s="20" t="s">
        <v>79</v>
      </c>
      <c r="C8" s="20" t="s">
        <v>140</v>
      </c>
      <c r="D8" s="20" t="s">
        <v>149</v>
      </c>
      <c r="E8" s="60">
        <v>7</v>
      </c>
      <c r="F8" s="20">
        <v>10.93</v>
      </c>
      <c r="G8" s="20">
        <v>12</v>
      </c>
      <c r="H8" t="str">
        <f>IF(C8='FOCUS C'!$E$9,D8,"")</f>
        <v/>
      </c>
    </row>
    <row r="9" spans="1:8">
      <c r="A9" s="20">
        <v>2013</v>
      </c>
      <c r="B9" s="20" t="s">
        <v>81</v>
      </c>
      <c r="C9" s="20" t="s">
        <v>141</v>
      </c>
      <c r="D9" s="20" t="s">
        <v>173</v>
      </c>
      <c r="E9" s="60">
        <v>5</v>
      </c>
      <c r="F9" s="20">
        <v>8.58</v>
      </c>
      <c r="G9" s="20">
        <v>12</v>
      </c>
      <c r="H9" t="str">
        <f>IF(C9='FOCUS C'!$E$9,D9,"")</f>
        <v/>
      </c>
    </row>
    <row r="10" spans="1:8">
      <c r="A10" s="20">
        <v>2013</v>
      </c>
      <c r="B10" s="20" t="s">
        <v>78</v>
      </c>
      <c r="C10" s="20" t="s">
        <v>55</v>
      </c>
      <c r="D10" s="20" t="s">
        <v>151</v>
      </c>
      <c r="E10" s="60">
        <v>14</v>
      </c>
      <c r="F10" s="20">
        <v>7.58</v>
      </c>
      <c r="G10" s="20">
        <v>16</v>
      </c>
      <c r="H10" t="str">
        <f>IF(C10='FOCUS C'!$E$9,D10,"")</f>
        <v/>
      </c>
    </row>
    <row r="11" spans="1:8">
      <c r="A11" s="20">
        <v>2013</v>
      </c>
      <c r="B11" s="20" t="s">
        <v>78</v>
      </c>
      <c r="C11" s="20" t="s">
        <v>55</v>
      </c>
      <c r="D11" s="20" t="s">
        <v>152</v>
      </c>
      <c r="E11" s="60">
        <v>14</v>
      </c>
      <c r="F11" s="20">
        <v>1.34</v>
      </c>
      <c r="G11" s="20">
        <v>16</v>
      </c>
      <c r="H11" t="str">
        <f>IF(C11='FOCUS C'!$E$9,D11,"")</f>
        <v/>
      </c>
    </row>
    <row r="12" spans="1:8">
      <c r="A12" s="20">
        <v>2013</v>
      </c>
      <c r="B12" s="20" t="s">
        <v>78</v>
      </c>
      <c r="C12" s="20" t="s">
        <v>55</v>
      </c>
      <c r="D12" s="20" t="s">
        <v>153</v>
      </c>
      <c r="E12" s="60">
        <v>14</v>
      </c>
      <c r="F12" s="20">
        <v>7.5</v>
      </c>
      <c r="G12" s="20">
        <v>16</v>
      </c>
      <c r="H12" t="str">
        <f>IF(C12='FOCUS C'!$E$9,D12,"")</f>
        <v/>
      </c>
    </row>
    <row r="13" spans="1:8">
      <c r="A13" s="20">
        <v>2013</v>
      </c>
      <c r="B13" s="20" t="s">
        <v>53</v>
      </c>
      <c r="C13" s="20" t="s">
        <v>54</v>
      </c>
      <c r="D13" s="20" t="s">
        <v>154</v>
      </c>
      <c r="E13" s="60">
        <v>1</v>
      </c>
      <c r="F13" s="20">
        <v>0.09</v>
      </c>
      <c r="G13" s="20">
        <v>11</v>
      </c>
      <c r="H13" t="str">
        <f>IF(C13='FOCUS C'!$E$9,D13,"")</f>
        <v/>
      </c>
    </row>
    <row r="14" spans="1:8">
      <c r="A14" s="20">
        <v>2013</v>
      </c>
      <c r="B14" s="20" t="s">
        <v>53</v>
      </c>
      <c r="C14" s="20" t="s">
        <v>54</v>
      </c>
      <c r="D14" s="20" t="s">
        <v>155</v>
      </c>
      <c r="E14" s="60">
        <v>3</v>
      </c>
      <c r="F14" s="20">
        <v>1.1599999999999999</v>
      </c>
      <c r="G14" s="20">
        <v>12</v>
      </c>
      <c r="H14" t="str">
        <f>IF(C14='FOCUS C'!$E$9,D14,"")</f>
        <v/>
      </c>
    </row>
    <row r="15" spans="1:8">
      <c r="A15" s="20">
        <v>2013</v>
      </c>
      <c r="B15" s="20" t="s">
        <v>53</v>
      </c>
      <c r="C15" s="20" t="s">
        <v>54</v>
      </c>
      <c r="D15" s="20" t="s">
        <v>156</v>
      </c>
      <c r="E15" s="60">
        <v>19</v>
      </c>
      <c r="F15" s="20">
        <v>0.53</v>
      </c>
      <c r="G15" s="20">
        <v>20</v>
      </c>
      <c r="H15" t="str">
        <f>IF(C15='FOCUS C'!$E$9,D15,"")</f>
        <v/>
      </c>
    </row>
    <row r="16" spans="1:8">
      <c r="A16" s="12">
        <v>2013</v>
      </c>
      <c r="B16" s="12" t="s">
        <v>76</v>
      </c>
      <c r="C16" s="12" t="s">
        <v>57</v>
      </c>
      <c r="D16" s="12" t="s">
        <v>157</v>
      </c>
      <c r="E16" s="104">
        <v>24</v>
      </c>
      <c r="F16" s="12">
        <v>5.26</v>
      </c>
      <c r="G16" s="12">
        <v>25</v>
      </c>
      <c r="H16" t="str">
        <f>IF(C16='FOCUS C'!$E$9,D16,"")</f>
        <v/>
      </c>
    </row>
    <row r="17" spans="1:8">
      <c r="A17" s="20">
        <v>2013</v>
      </c>
      <c r="B17" s="20" t="s">
        <v>76</v>
      </c>
      <c r="C17" s="20" t="s">
        <v>57</v>
      </c>
      <c r="D17" s="20" t="s">
        <v>158</v>
      </c>
      <c r="E17" s="60">
        <v>23</v>
      </c>
      <c r="F17" s="20">
        <v>15.64</v>
      </c>
      <c r="G17" s="20">
        <v>24</v>
      </c>
      <c r="H17" t="str">
        <f>IF(C17='FOCUS C'!$E$9,D17,"")</f>
        <v/>
      </c>
    </row>
    <row r="18" spans="1:8">
      <c r="A18" s="20">
        <v>2013</v>
      </c>
      <c r="B18" s="20" t="s">
        <v>78</v>
      </c>
      <c r="C18" s="20" t="s">
        <v>55</v>
      </c>
      <c r="D18" s="135" t="s">
        <v>176</v>
      </c>
      <c r="E18" s="60">
        <v>8</v>
      </c>
      <c r="F18" s="20">
        <v>11.9</v>
      </c>
      <c r="G18" s="20">
        <v>12</v>
      </c>
      <c r="H18" t="str">
        <f>IF(C18='FOCUS C'!$E$9,D18,"")</f>
        <v/>
      </c>
    </row>
    <row r="19" spans="1:8">
      <c r="A19" s="20">
        <v>2013</v>
      </c>
      <c r="B19" s="20" t="s">
        <v>77</v>
      </c>
      <c r="C19" s="20" t="s">
        <v>58</v>
      </c>
      <c r="D19" s="20" t="s">
        <v>160</v>
      </c>
      <c r="E19" s="60">
        <v>9</v>
      </c>
      <c r="F19" s="20">
        <v>17.55</v>
      </c>
      <c r="G19" s="20">
        <v>12</v>
      </c>
      <c r="H19" t="str">
        <f>IF(C19='FOCUS C'!$E$9,D19,"")</f>
        <v>Labaou Plaine</v>
      </c>
    </row>
    <row r="20" spans="1:8">
      <c r="A20" s="20">
        <v>2013</v>
      </c>
      <c r="B20" s="20" t="s">
        <v>78</v>
      </c>
      <c r="C20" s="20" t="s">
        <v>59</v>
      </c>
      <c r="D20" s="20" t="s">
        <v>161</v>
      </c>
      <c r="E20" s="60">
        <v>17</v>
      </c>
      <c r="F20" s="20">
        <v>5.07</v>
      </c>
      <c r="G20" s="20">
        <v>19</v>
      </c>
      <c r="H20" t="str">
        <f>IF(C20='FOCUS C'!$E$9,D20,"")</f>
        <v/>
      </c>
    </row>
    <row r="21" spans="1:8">
      <c r="A21" s="20">
        <v>2013</v>
      </c>
      <c r="B21" s="20" t="s">
        <v>78</v>
      </c>
      <c r="C21" s="20" t="s">
        <v>51</v>
      </c>
      <c r="D21" s="20" t="s">
        <v>162</v>
      </c>
      <c r="E21" s="60">
        <v>20</v>
      </c>
      <c r="F21" s="20">
        <v>2.67</v>
      </c>
      <c r="G21" s="20">
        <v>21</v>
      </c>
      <c r="H21" t="str">
        <f>IF(C21='FOCUS C'!$E$9,D21,"")</f>
        <v/>
      </c>
    </row>
    <row r="22" spans="1:8">
      <c r="A22" s="20">
        <v>2013</v>
      </c>
      <c r="B22" s="20" t="s">
        <v>78</v>
      </c>
      <c r="C22" s="20" t="s">
        <v>51</v>
      </c>
      <c r="D22" s="20" t="s">
        <v>172</v>
      </c>
      <c r="E22" s="60">
        <v>18</v>
      </c>
      <c r="F22" s="20">
        <v>16.440000000000001</v>
      </c>
      <c r="G22" s="20">
        <v>20</v>
      </c>
      <c r="H22" t="str">
        <f>IF(C22='FOCUS C'!$E$9,D22,"")</f>
        <v/>
      </c>
    </row>
    <row r="23" spans="1:8">
      <c r="A23" s="20">
        <v>2013</v>
      </c>
      <c r="B23" s="20" t="s">
        <v>76</v>
      </c>
      <c r="C23" s="20" t="s">
        <v>50</v>
      </c>
      <c r="D23" s="20" t="s">
        <v>164</v>
      </c>
      <c r="E23" s="60">
        <v>10</v>
      </c>
      <c r="F23" s="20">
        <v>21.88</v>
      </c>
      <c r="G23" s="20">
        <v>12</v>
      </c>
      <c r="H23" t="str">
        <f>IF(C23='FOCUS C'!$E$9,D23,"")</f>
        <v/>
      </c>
    </row>
    <row r="24" spans="1:8">
      <c r="A24" s="20">
        <v>2013</v>
      </c>
      <c r="B24" s="20" t="s">
        <v>76</v>
      </c>
      <c r="C24" s="20" t="s">
        <v>50</v>
      </c>
      <c r="D24" s="20" t="s">
        <v>165</v>
      </c>
      <c r="E24" s="60">
        <v>13</v>
      </c>
      <c r="F24" s="20">
        <v>5.67</v>
      </c>
      <c r="G24" s="20">
        <v>15</v>
      </c>
      <c r="H24" t="str">
        <f>IF(C24='FOCUS C'!$E$9,D24,"")</f>
        <v/>
      </c>
    </row>
    <row r="25" spans="1:8">
      <c r="A25" s="20">
        <v>2013</v>
      </c>
      <c r="B25" s="20" t="s">
        <v>53</v>
      </c>
      <c r="C25" s="20" t="s">
        <v>54</v>
      </c>
      <c r="D25" s="20" t="s">
        <v>166</v>
      </c>
      <c r="E25" s="60">
        <v>25</v>
      </c>
      <c r="F25" s="20">
        <v>3.69</v>
      </c>
      <c r="G25" s="20">
        <v>15</v>
      </c>
      <c r="H25" t="str">
        <f>IF(C25='FOCUS C'!$E$9,D25,"")</f>
        <v/>
      </c>
    </row>
    <row r="26" spans="1:8">
      <c r="A26" s="20">
        <v>2013</v>
      </c>
      <c r="B26" s="20" t="s">
        <v>76</v>
      </c>
      <c r="C26" s="20" t="s">
        <v>52</v>
      </c>
      <c r="D26" s="20" t="s">
        <v>171</v>
      </c>
      <c r="E26" s="60">
        <v>21</v>
      </c>
      <c r="F26" s="20">
        <v>4.12</v>
      </c>
      <c r="G26" s="20">
        <v>22</v>
      </c>
      <c r="H26" t="str">
        <f>IF(C26='FOCUS C'!$E$9,D26,"")</f>
        <v/>
      </c>
    </row>
    <row r="27" spans="1:8">
      <c r="A27" s="20">
        <v>2013</v>
      </c>
      <c r="B27" s="20" t="s">
        <v>76</v>
      </c>
      <c r="C27" s="20" t="s">
        <v>52</v>
      </c>
      <c r="D27" s="20" t="s">
        <v>168</v>
      </c>
      <c r="E27" s="60">
        <v>21</v>
      </c>
      <c r="F27" s="20">
        <v>4.42</v>
      </c>
      <c r="G27" s="20">
        <v>22</v>
      </c>
      <c r="H27" t="str">
        <f>IF(C27='FOCUS C'!$E$9,D27,"")</f>
        <v/>
      </c>
    </row>
    <row r="28" spans="1:8">
      <c r="A28" s="20">
        <v>2013</v>
      </c>
      <c r="B28" s="20" t="s">
        <v>76</v>
      </c>
      <c r="C28" s="20" t="s">
        <v>52</v>
      </c>
      <c r="D28" s="20" t="s">
        <v>169</v>
      </c>
      <c r="E28" s="60">
        <v>12</v>
      </c>
      <c r="F28" s="20">
        <v>12.06</v>
      </c>
      <c r="G28" s="20">
        <v>14</v>
      </c>
      <c r="H28" t="str">
        <f>IF(C28='FOCUS C'!$E$9,D28,"")</f>
        <v/>
      </c>
    </row>
    <row r="29" spans="1:8" ht="16" thickBot="1">
      <c r="A29" s="97">
        <v>2013</v>
      </c>
      <c r="B29" s="97" t="s">
        <v>78</v>
      </c>
      <c r="C29" s="97" t="s">
        <v>55</v>
      </c>
      <c r="D29" s="97" t="s">
        <v>170</v>
      </c>
      <c r="E29" s="98">
        <v>2</v>
      </c>
      <c r="F29" s="97">
        <v>1.26</v>
      </c>
      <c r="G29" s="97">
        <v>11</v>
      </c>
      <c r="H29" t="str">
        <f>IF(C29='FOCUS C'!$E$9,D29,"")</f>
        <v/>
      </c>
    </row>
    <row r="30" spans="1:8" ht="16" thickTop="1">
      <c r="A30" s="20">
        <v>2014</v>
      </c>
      <c r="B30" s="20" t="s">
        <v>78</v>
      </c>
      <c r="C30" s="20" t="s">
        <v>55</v>
      </c>
      <c r="D30" s="20" t="s">
        <v>143</v>
      </c>
      <c r="E30" s="60">
        <v>11</v>
      </c>
      <c r="F30" s="20">
        <v>5.17</v>
      </c>
      <c r="G30" s="20">
        <v>13</v>
      </c>
      <c r="H30" t="str">
        <f>IF(C30='FOCUS C'!$E$9,D30,"")</f>
        <v/>
      </c>
    </row>
    <row r="31" spans="1:8">
      <c r="A31" s="20">
        <v>2014</v>
      </c>
      <c r="B31" s="20" t="s">
        <v>76</v>
      </c>
      <c r="C31" s="20"/>
      <c r="D31" s="20" t="s">
        <v>144</v>
      </c>
      <c r="E31" s="60">
        <v>15</v>
      </c>
      <c r="F31" s="20">
        <v>5.27</v>
      </c>
      <c r="G31" s="20">
        <v>17</v>
      </c>
      <c r="H31" t="str">
        <f>IF(C31='FOCUS C'!$E$9,D31,"")</f>
        <v/>
      </c>
    </row>
    <row r="32" spans="1:8">
      <c r="A32" s="20">
        <v>2014</v>
      </c>
      <c r="B32" s="20" t="s">
        <v>77</v>
      </c>
      <c r="C32" s="20" t="s">
        <v>191</v>
      </c>
      <c r="D32" s="20" t="s">
        <v>145</v>
      </c>
      <c r="E32" s="60">
        <v>16</v>
      </c>
      <c r="F32" s="20">
        <v>2.33</v>
      </c>
      <c r="G32" s="20">
        <v>18</v>
      </c>
      <c r="H32" t="str">
        <f>IF(C32='FOCUS C'!$E$9,D32,"")</f>
        <v/>
      </c>
    </row>
    <row r="33" spans="1:8">
      <c r="A33" s="20">
        <v>2014</v>
      </c>
      <c r="B33" s="20" t="s">
        <v>53</v>
      </c>
      <c r="C33" s="20"/>
      <c r="D33" s="20" t="s">
        <v>146</v>
      </c>
      <c r="E33" s="60">
        <v>22</v>
      </c>
      <c r="F33" s="20">
        <v>4.41</v>
      </c>
      <c r="G33" s="20">
        <v>23</v>
      </c>
      <c r="H33" t="str">
        <f>IF(C33='FOCUS C'!$E$9,D33,"")</f>
        <v/>
      </c>
    </row>
    <row r="34" spans="1:8">
      <c r="A34" s="20">
        <v>2014</v>
      </c>
      <c r="B34" s="20" t="s">
        <v>79</v>
      </c>
      <c r="C34" s="20"/>
      <c r="D34" s="20" t="s">
        <v>147</v>
      </c>
      <c r="E34" s="60">
        <v>4</v>
      </c>
      <c r="F34" s="20">
        <v>5.67</v>
      </c>
      <c r="G34" s="20">
        <v>12</v>
      </c>
      <c r="H34" t="str">
        <f>IF(C34='FOCUS C'!$E$9,D34,"")</f>
        <v/>
      </c>
    </row>
    <row r="35" spans="1:8">
      <c r="A35" s="20">
        <v>2014</v>
      </c>
      <c r="B35" s="20" t="s">
        <v>79</v>
      </c>
      <c r="C35" s="20"/>
      <c r="D35" s="20" t="s">
        <v>148</v>
      </c>
      <c r="E35" s="60">
        <v>6</v>
      </c>
      <c r="F35" s="20">
        <v>12.49</v>
      </c>
      <c r="G35" s="20">
        <v>12</v>
      </c>
      <c r="H35" t="str">
        <f>IF(C35='FOCUS C'!$E$9,D35,"")</f>
        <v/>
      </c>
    </row>
    <row r="36" spans="1:8">
      <c r="A36" s="20">
        <v>2014</v>
      </c>
      <c r="B36" s="20" t="s">
        <v>77</v>
      </c>
      <c r="C36" s="20" t="s">
        <v>139</v>
      </c>
      <c r="D36" s="20" t="s">
        <v>149</v>
      </c>
      <c r="E36" s="60">
        <v>7</v>
      </c>
      <c r="F36" s="20">
        <v>10.93</v>
      </c>
      <c r="G36" s="20">
        <v>12</v>
      </c>
      <c r="H36" t="str">
        <f>IF(C36='FOCUS C'!$E$9,D36,"")</f>
        <v/>
      </c>
    </row>
    <row r="37" spans="1:8">
      <c r="A37" s="20">
        <v>2014</v>
      </c>
      <c r="B37" s="20" t="s">
        <v>77</v>
      </c>
      <c r="C37" s="20" t="s">
        <v>190</v>
      </c>
      <c r="D37" s="20" t="s">
        <v>150</v>
      </c>
      <c r="E37" s="60">
        <v>5</v>
      </c>
      <c r="F37" s="20">
        <v>8.58</v>
      </c>
      <c r="G37" s="20">
        <v>12</v>
      </c>
      <c r="H37" t="str">
        <f>IF(C37='FOCUS C'!$E$9,D37,"")</f>
        <v/>
      </c>
    </row>
    <row r="38" spans="1:8">
      <c r="A38" s="20">
        <v>2014</v>
      </c>
      <c r="B38" s="20" t="s">
        <v>76</v>
      </c>
      <c r="C38" s="20"/>
      <c r="D38" s="20" t="s">
        <v>151</v>
      </c>
      <c r="E38" s="60">
        <v>14</v>
      </c>
      <c r="F38" s="20">
        <v>7.58</v>
      </c>
      <c r="G38" s="20">
        <v>16</v>
      </c>
      <c r="H38" t="str">
        <f>IF(C38='FOCUS C'!$E$9,D38,"")</f>
        <v/>
      </c>
    </row>
    <row r="39" spans="1:8">
      <c r="A39" s="20">
        <v>2014</v>
      </c>
      <c r="B39" s="20" t="s">
        <v>76</v>
      </c>
      <c r="C39" s="20"/>
      <c r="D39" s="20" t="s">
        <v>152</v>
      </c>
      <c r="E39" s="60">
        <v>14</v>
      </c>
      <c r="F39" s="20">
        <v>1.34</v>
      </c>
      <c r="G39" s="20">
        <v>16</v>
      </c>
      <c r="H39" t="str">
        <f>IF(C39='FOCUS C'!$E$9,D39,"")</f>
        <v/>
      </c>
    </row>
    <row r="40" spans="1:8">
      <c r="A40" s="20">
        <v>2014</v>
      </c>
      <c r="B40" s="20" t="s">
        <v>76</v>
      </c>
      <c r="C40" s="20"/>
      <c r="D40" s="20" t="s">
        <v>153</v>
      </c>
      <c r="E40" s="60">
        <v>14</v>
      </c>
      <c r="F40" s="20">
        <v>7.5</v>
      </c>
      <c r="G40" s="20">
        <v>16</v>
      </c>
      <c r="H40" t="str">
        <f>IF(C40='FOCUS C'!$E$9,D40,"")</f>
        <v/>
      </c>
    </row>
    <row r="41" spans="1:8">
      <c r="A41" s="20">
        <v>2014</v>
      </c>
      <c r="B41" s="20" t="s">
        <v>53</v>
      </c>
      <c r="C41" s="20"/>
      <c r="D41" s="20" t="s">
        <v>154</v>
      </c>
      <c r="E41" s="60">
        <v>1</v>
      </c>
      <c r="F41" s="20">
        <v>0.09</v>
      </c>
      <c r="G41" s="20">
        <v>11</v>
      </c>
      <c r="H41" t="str">
        <f>IF(C41='FOCUS C'!$E$9,D41,"")</f>
        <v/>
      </c>
    </row>
    <row r="42" spans="1:8">
      <c r="A42" s="20">
        <v>2014</v>
      </c>
      <c r="B42" s="20" t="s">
        <v>53</v>
      </c>
      <c r="C42" s="20"/>
      <c r="D42" s="20" t="s">
        <v>155</v>
      </c>
      <c r="E42" s="60">
        <v>3</v>
      </c>
      <c r="F42" s="20">
        <v>1.1599999999999999</v>
      </c>
      <c r="G42" s="20">
        <v>12</v>
      </c>
      <c r="H42" t="str">
        <f>IF(C42='FOCUS C'!$E$9,D42,"")</f>
        <v/>
      </c>
    </row>
    <row r="43" spans="1:8">
      <c r="A43" s="20">
        <v>2014</v>
      </c>
      <c r="B43" s="20" t="s">
        <v>53</v>
      </c>
      <c r="C43" s="20"/>
      <c r="D43" s="20" t="s">
        <v>156</v>
      </c>
      <c r="E43" s="60">
        <v>19</v>
      </c>
      <c r="F43" s="20">
        <v>0.53</v>
      </c>
      <c r="G43" s="20">
        <v>20</v>
      </c>
      <c r="H43" t="str">
        <f>IF(C43='FOCUS C'!$E$9,D43,"")</f>
        <v/>
      </c>
    </row>
    <row r="44" spans="1:8">
      <c r="A44" s="12">
        <v>2014</v>
      </c>
      <c r="B44" s="12" t="s">
        <v>77</v>
      </c>
      <c r="C44" s="20" t="s">
        <v>58</v>
      </c>
      <c r="D44" s="12" t="s">
        <v>157</v>
      </c>
      <c r="E44" s="104">
        <v>24</v>
      </c>
      <c r="F44" s="12">
        <v>5.26</v>
      </c>
      <c r="G44" s="12">
        <v>25</v>
      </c>
      <c r="H44" t="str">
        <f>IF(C44='FOCUS C'!$E$9,D44,"")</f>
        <v>L'Aule métairie</v>
      </c>
    </row>
    <row r="45" spans="1:8">
      <c r="A45" s="20">
        <v>2014</v>
      </c>
      <c r="B45" s="20" t="s">
        <v>77</v>
      </c>
      <c r="C45" s="20" t="s">
        <v>58</v>
      </c>
      <c r="D45" s="20" t="s">
        <v>158</v>
      </c>
      <c r="E45" s="60">
        <v>23</v>
      </c>
      <c r="F45" s="20">
        <v>15.64</v>
      </c>
      <c r="G45" s="20">
        <v>24</v>
      </c>
      <c r="H45" t="str">
        <f>IF(C45='FOCUS C'!$E$9,D45,"")</f>
        <v>L'Aule Plaine</v>
      </c>
    </row>
    <row r="46" spans="1:8">
      <c r="A46" s="20">
        <v>2014</v>
      </c>
      <c r="B46" s="20" t="s">
        <v>76</v>
      </c>
      <c r="C46" s="20"/>
      <c r="D46" s="20" t="s">
        <v>159</v>
      </c>
      <c r="E46" s="60">
        <v>8</v>
      </c>
      <c r="F46" s="20">
        <v>11.9</v>
      </c>
      <c r="G46" s="20">
        <v>12</v>
      </c>
      <c r="H46" t="str">
        <f>IF(C46='FOCUS C'!$E$9,D46,"")</f>
        <v/>
      </c>
    </row>
    <row r="47" spans="1:8">
      <c r="A47" s="20">
        <v>2014</v>
      </c>
      <c r="B47" s="20" t="s">
        <v>76</v>
      </c>
      <c r="C47" s="20"/>
      <c r="D47" s="20" t="s">
        <v>160</v>
      </c>
      <c r="E47" s="60">
        <v>9</v>
      </c>
      <c r="F47" s="20">
        <v>17.55</v>
      </c>
      <c r="G47" s="20">
        <v>12</v>
      </c>
      <c r="H47" t="str">
        <f>IF(C47='FOCUS C'!$E$9,D47,"")</f>
        <v/>
      </c>
    </row>
    <row r="48" spans="1:8">
      <c r="A48" s="20">
        <v>2014</v>
      </c>
      <c r="B48" s="20" t="s">
        <v>76</v>
      </c>
      <c r="C48" s="20"/>
      <c r="D48" s="20" t="s">
        <v>161</v>
      </c>
      <c r="E48" s="60">
        <v>17</v>
      </c>
      <c r="F48" s="20">
        <v>5.07</v>
      </c>
      <c r="G48" s="20">
        <v>19</v>
      </c>
      <c r="H48" t="str">
        <f>IF(C48='FOCUS C'!$E$9,D48,"")</f>
        <v/>
      </c>
    </row>
    <row r="49" spans="1:8">
      <c r="A49" s="20">
        <v>2014</v>
      </c>
      <c r="B49" s="20" t="s">
        <v>76</v>
      </c>
      <c r="C49" s="20"/>
      <c r="D49" s="20" t="s">
        <v>162</v>
      </c>
      <c r="E49" s="60">
        <v>20</v>
      </c>
      <c r="F49" s="20">
        <v>2.67</v>
      </c>
      <c r="G49" s="20">
        <v>21</v>
      </c>
      <c r="H49" t="str">
        <f>IF(C49='FOCUS C'!$E$9,D49,"")</f>
        <v/>
      </c>
    </row>
    <row r="50" spans="1:8">
      <c r="A50" s="20">
        <v>2014</v>
      </c>
      <c r="B50" s="20" t="s">
        <v>76</v>
      </c>
      <c r="C50" s="20"/>
      <c r="D50" s="20" t="s">
        <v>163</v>
      </c>
      <c r="E50" s="60">
        <v>18</v>
      </c>
      <c r="F50" s="20">
        <v>16.440000000000001</v>
      </c>
      <c r="G50" s="20">
        <v>20</v>
      </c>
      <c r="H50" t="str">
        <f>IF(C50='FOCUS C'!$E$9,D50,"")</f>
        <v/>
      </c>
    </row>
    <row r="51" spans="1:8">
      <c r="A51" s="20">
        <v>2014</v>
      </c>
      <c r="B51" s="20" t="s">
        <v>78</v>
      </c>
      <c r="C51" s="20" t="s">
        <v>56</v>
      </c>
      <c r="D51" s="20" t="s">
        <v>164</v>
      </c>
      <c r="E51" s="60">
        <v>10</v>
      </c>
      <c r="F51" s="20">
        <v>21.88</v>
      </c>
      <c r="G51" s="20">
        <v>12</v>
      </c>
      <c r="H51" t="str">
        <f>IF(C51='FOCUS C'!$E$9,D51,"")</f>
        <v/>
      </c>
    </row>
    <row r="52" spans="1:8">
      <c r="A52" s="20">
        <v>2014</v>
      </c>
      <c r="B52" s="20" t="s">
        <v>78</v>
      </c>
      <c r="C52" s="20" t="s">
        <v>55</v>
      </c>
      <c r="D52" s="20" t="s">
        <v>165</v>
      </c>
      <c r="E52" s="60">
        <v>13</v>
      </c>
      <c r="F52" s="20">
        <v>5.67</v>
      </c>
      <c r="G52" s="20">
        <v>15</v>
      </c>
      <c r="H52" t="str">
        <f>IF(C52='FOCUS C'!$E$9,D52,"")</f>
        <v/>
      </c>
    </row>
    <row r="53" spans="1:8">
      <c r="A53" s="20">
        <v>2014</v>
      </c>
      <c r="B53" s="20" t="s">
        <v>53</v>
      </c>
      <c r="C53" s="20"/>
      <c r="D53" s="20" t="s">
        <v>166</v>
      </c>
      <c r="E53" s="60">
        <v>25</v>
      </c>
      <c r="F53" s="20">
        <v>3.69</v>
      </c>
      <c r="G53" s="20">
        <v>15</v>
      </c>
      <c r="H53" t="str">
        <f>IF(C53='FOCUS C'!$E$9,D53,"")</f>
        <v/>
      </c>
    </row>
    <row r="54" spans="1:8">
      <c r="A54" s="20">
        <v>2014</v>
      </c>
      <c r="B54" s="20" t="s">
        <v>78</v>
      </c>
      <c r="C54" s="20" t="s">
        <v>51</v>
      </c>
      <c r="D54" s="20" t="s">
        <v>167</v>
      </c>
      <c r="E54" s="60">
        <v>21</v>
      </c>
      <c r="F54" s="20">
        <v>4.12</v>
      </c>
      <c r="G54" s="20">
        <v>22</v>
      </c>
      <c r="H54" t="str">
        <f>IF(C54='FOCUS C'!$E$9,D54,"")</f>
        <v/>
      </c>
    </row>
    <row r="55" spans="1:8">
      <c r="A55" s="20">
        <v>2014</v>
      </c>
      <c r="B55" s="20" t="s">
        <v>78</v>
      </c>
      <c r="C55" s="20" t="s">
        <v>51</v>
      </c>
      <c r="D55" s="20" t="s">
        <v>168</v>
      </c>
      <c r="E55" s="60">
        <v>21</v>
      </c>
      <c r="F55" s="20">
        <v>4.42</v>
      </c>
      <c r="G55" s="20">
        <v>22</v>
      </c>
      <c r="H55" t="str">
        <f>IF(C55='FOCUS C'!$E$9,D55,"")</f>
        <v/>
      </c>
    </row>
    <row r="56" spans="1:8">
      <c r="A56" s="20">
        <v>2014</v>
      </c>
      <c r="B56" s="20" t="s">
        <v>78</v>
      </c>
      <c r="C56" s="20" t="s">
        <v>51</v>
      </c>
      <c r="D56" s="20" t="s">
        <v>169</v>
      </c>
      <c r="E56" s="60">
        <v>12</v>
      </c>
      <c r="F56" s="20">
        <v>12.06</v>
      </c>
      <c r="G56" s="20">
        <v>14</v>
      </c>
      <c r="H56" t="str">
        <f>IF(C56='FOCUS C'!$E$9,D56,"")</f>
        <v/>
      </c>
    </row>
    <row r="57" spans="1:8" ht="16" thickBot="1">
      <c r="A57" s="97">
        <v>2014</v>
      </c>
      <c r="B57" s="97" t="s">
        <v>76</v>
      </c>
      <c r="C57" s="97"/>
      <c r="D57" s="97" t="s">
        <v>170</v>
      </c>
      <c r="E57" s="98">
        <v>2</v>
      </c>
      <c r="F57" s="97">
        <v>1.26</v>
      </c>
      <c r="G57" s="97">
        <v>11</v>
      </c>
      <c r="H57" t="str">
        <f>IF(C57='FOCUS C'!$E$9,D57,"")</f>
        <v/>
      </c>
    </row>
    <row r="58" spans="1:8" ht="16" thickTop="1">
      <c r="A58" s="20">
        <v>2015</v>
      </c>
      <c r="B58" s="20"/>
      <c r="C58" s="20"/>
      <c r="D58" s="20" t="s">
        <v>143</v>
      </c>
      <c r="E58" s="60">
        <v>11</v>
      </c>
      <c r="F58" s="20">
        <v>5.17</v>
      </c>
      <c r="G58" s="20">
        <v>13</v>
      </c>
      <c r="H58" t="str">
        <f>IF(C58='FOCUS C'!$E$9,D58,"")</f>
        <v/>
      </c>
    </row>
    <row r="59" spans="1:8">
      <c r="A59" s="20">
        <v>2015</v>
      </c>
      <c r="B59" s="20"/>
      <c r="C59" s="20"/>
      <c r="D59" s="20" t="s">
        <v>144</v>
      </c>
      <c r="E59" s="60">
        <v>15</v>
      </c>
      <c r="F59" s="20">
        <v>5.27</v>
      </c>
      <c r="G59" s="20">
        <v>17</v>
      </c>
      <c r="H59" t="str">
        <f>IF(C59='FOCUS C'!$E$9,D59,"")</f>
        <v/>
      </c>
    </row>
    <row r="60" spans="1:8">
      <c r="A60" s="20">
        <v>2015</v>
      </c>
      <c r="B60" s="20"/>
      <c r="C60" s="20"/>
      <c r="D60" s="20" t="s">
        <v>145</v>
      </c>
      <c r="E60" s="60">
        <v>16</v>
      </c>
      <c r="F60" s="20">
        <v>2.33</v>
      </c>
      <c r="G60" s="20">
        <v>18</v>
      </c>
      <c r="H60" t="str">
        <f>IF(C60='FOCUS C'!$E$9,D60,"")</f>
        <v/>
      </c>
    </row>
    <row r="61" spans="1:8">
      <c r="A61" s="20">
        <v>2015</v>
      </c>
      <c r="B61" s="20"/>
      <c r="C61" s="20"/>
      <c r="D61" s="20" t="s">
        <v>146</v>
      </c>
      <c r="E61" s="60">
        <v>22</v>
      </c>
      <c r="F61" s="20">
        <v>4.41</v>
      </c>
      <c r="G61" s="20">
        <v>23</v>
      </c>
      <c r="H61" t="str">
        <f>IF(C61='FOCUS C'!$E$9,D61,"")</f>
        <v/>
      </c>
    </row>
    <row r="62" spans="1:8">
      <c r="A62" s="20">
        <v>2015</v>
      </c>
      <c r="B62" s="20"/>
      <c r="C62" s="20"/>
      <c r="D62" s="20" t="s">
        <v>147</v>
      </c>
      <c r="E62" s="60">
        <v>4</v>
      </c>
      <c r="F62" s="20">
        <v>5.67</v>
      </c>
      <c r="G62" s="20">
        <v>12</v>
      </c>
      <c r="H62" t="str">
        <f>IF(C62='FOCUS C'!$E$9,D62,"")</f>
        <v/>
      </c>
    </row>
    <row r="63" spans="1:8">
      <c r="A63" s="20">
        <v>2015</v>
      </c>
      <c r="B63" s="20"/>
      <c r="C63" s="20"/>
      <c r="D63" s="20" t="s">
        <v>148</v>
      </c>
      <c r="E63" s="60">
        <v>6</v>
      </c>
      <c r="F63" s="20">
        <v>12.49</v>
      </c>
      <c r="G63" s="20">
        <v>12</v>
      </c>
      <c r="H63" t="str">
        <f>IF(C63='FOCUS C'!$E$9,D63,"")</f>
        <v/>
      </c>
    </row>
    <row r="64" spans="1:8">
      <c r="A64" s="20">
        <v>2015</v>
      </c>
      <c r="B64" s="20"/>
      <c r="C64" s="20"/>
      <c r="D64" s="20" t="s">
        <v>149</v>
      </c>
      <c r="E64" s="60">
        <v>7</v>
      </c>
      <c r="F64" s="20">
        <v>10.93</v>
      </c>
      <c r="G64" s="20">
        <v>12</v>
      </c>
      <c r="H64" t="str">
        <f>IF(C64='FOCUS C'!$E$9,D64,"")</f>
        <v/>
      </c>
    </row>
    <row r="65" spans="1:8">
      <c r="A65" s="20">
        <v>2015</v>
      </c>
      <c r="B65" s="20"/>
      <c r="C65" s="20"/>
      <c r="D65" s="20" t="s">
        <v>150</v>
      </c>
      <c r="E65" s="60">
        <v>5</v>
      </c>
      <c r="F65" s="20">
        <v>8.58</v>
      </c>
      <c r="G65" s="20">
        <v>12</v>
      </c>
      <c r="H65" t="str">
        <f>IF(C65='FOCUS C'!$E$9,D65,"")</f>
        <v/>
      </c>
    </row>
    <row r="66" spans="1:8">
      <c r="A66" s="20">
        <v>2015</v>
      </c>
      <c r="B66" s="20"/>
      <c r="C66" s="20"/>
      <c r="D66" s="20" t="s">
        <v>151</v>
      </c>
      <c r="E66" s="60">
        <v>14</v>
      </c>
      <c r="F66" s="20">
        <v>7.58</v>
      </c>
      <c r="G66" s="20">
        <v>16</v>
      </c>
      <c r="H66" t="str">
        <f>IF(C66='FOCUS C'!$E$9,D66,"")</f>
        <v/>
      </c>
    </row>
    <row r="67" spans="1:8">
      <c r="A67" s="20">
        <v>2015</v>
      </c>
      <c r="B67" s="20"/>
      <c r="C67" s="20"/>
      <c r="D67" s="20" t="s">
        <v>152</v>
      </c>
      <c r="E67" s="60">
        <v>14</v>
      </c>
      <c r="F67" s="20">
        <v>1.34</v>
      </c>
      <c r="G67" s="20">
        <v>16</v>
      </c>
      <c r="H67" t="str">
        <f>IF(C67='FOCUS C'!$E$9,D67,"")</f>
        <v/>
      </c>
    </row>
    <row r="68" spans="1:8">
      <c r="A68" s="20">
        <v>2015</v>
      </c>
      <c r="B68" s="20"/>
      <c r="C68" s="20"/>
      <c r="D68" s="20" t="s">
        <v>153</v>
      </c>
      <c r="E68" s="60">
        <v>14</v>
      </c>
      <c r="F68" s="20">
        <v>7.5</v>
      </c>
      <c r="G68" s="20">
        <v>16</v>
      </c>
      <c r="H68" t="str">
        <f>IF(C68='FOCUS C'!$E$9,D68,"")</f>
        <v/>
      </c>
    </row>
    <row r="69" spans="1:8">
      <c r="A69" s="20">
        <v>2015</v>
      </c>
      <c r="B69" s="20"/>
      <c r="C69" s="20"/>
      <c r="D69" s="20" t="s">
        <v>154</v>
      </c>
      <c r="E69" s="60">
        <v>1</v>
      </c>
      <c r="F69" s="20">
        <v>0.09</v>
      </c>
      <c r="G69" s="20">
        <v>11</v>
      </c>
      <c r="H69" t="str">
        <f>IF(C69='FOCUS C'!$E$9,D69,"")</f>
        <v/>
      </c>
    </row>
    <row r="70" spans="1:8">
      <c r="A70" s="20">
        <v>2015</v>
      </c>
      <c r="B70" s="20"/>
      <c r="C70" s="20"/>
      <c r="D70" s="20" t="s">
        <v>155</v>
      </c>
      <c r="E70" s="60">
        <v>3</v>
      </c>
      <c r="F70" s="20">
        <v>1.1599999999999999</v>
      </c>
      <c r="G70" s="20">
        <v>12</v>
      </c>
      <c r="H70" t="str">
        <f>IF(C70='FOCUS C'!$E$9,D70,"")</f>
        <v/>
      </c>
    </row>
    <row r="71" spans="1:8">
      <c r="A71" s="20">
        <v>2015</v>
      </c>
      <c r="B71" s="20"/>
      <c r="C71" s="20"/>
      <c r="D71" s="20" t="s">
        <v>156</v>
      </c>
      <c r="E71" s="60">
        <v>19</v>
      </c>
      <c r="F71" s="20">
        <v>0.53</v>
      </c>
      <c r="G71" s="20">
        <v>20</v>
      </c>
      <c r="H71" t="str">
        <f>IF(C71='FOCUS C'!$E$9,D71,"")</f>
        <v/>
      </c>
    </row>
    <row r="72" spans="1:8">
      <c r="A72" s="12">
        <v>2015</v>
      </c>
      <c r="B72" s="12"/>
      <c r="C72" s="12"/>
      <c r="D72" s="12" t="s">
        <v>157</v>
      </c>
      <c r="E72" s="104">
        <v>24</v>
      </c>
      <c r="F72" s="12">
        <v>5.26</v>
      </c>
      <c r="G72" s="12">
        <v>25</v>
      </c>
      <c r="H72" t="str">
        <f>IF(C72='FOCUS C'!$E$9,D72,"")</f>
        <v/>
      </c>
    </row>
    <row r="73" spans="1:8">
      <c r="A73" s="20">
        <v>2015</v>
      </c>
      <c r="B73" s="20"/>
      <c r="C73" s="20"/>
      <c r="D73" s="20" t="s">
        <v>158</v>
      </c>
      <c r="E73" s="60">
        <v>23</v>
      </c>
      <c r="F73" s="20">
        <v>15.64</v>
      </c>
      <c r="G73" s="20">
        <v>24</v>
      </c>
      <c r="H73" t="str">
        <f>IF(C73='FOCUS C'!$E$9,D73,"")</f>
        <v/>
      </c>
    </row>
    <row r="74" spans="1:8">
      <c r="A74" s="20">
        <v>2015</v>
      </c>
      <c r="B74" s="20"/>
      <c r="C74" s="20"/>
      <c r="D74" s="20" t="s">
        <v>159</v>
      </c>
      <c r="E74" s="60">
        <v>8</v>
      </c>
      <c r="F74" s="20">
        <v>11.9</v>
      </c>
      <c r="G74" s="20">
        <v>12</v>
      </c>
      <c r="H74" t="str">
        <f>IF(C74='FOCUS C'!$E$9,D74,"")</f>
        <v/>
      </c>
    </row>
    <row r="75" spans="1:8">
      <c r="A75" s="20">
        <v>2015</v>
      </c>
      <c r="B75" s="20"/>
      <c r="C75" s="20"/>
      <c r="D75" s="20" t="s">
        <v>160</v>
      </c>
      <c r="E75" s="60">
        <v>9</v>
      </c>
      <c r="F75" s="20">
        <v>17.55</v>
      </c>
      <c r="G75" s="20">
        <v>12</v>
      </c>
      <c r="H75" t="str">
        <f>IF(C75='FOCUS C'!$E$9,D75,"")</f>
        <v/>
      </c>
    </row>
    <row r="76" spans="1:8">
      <c r="A76" s="20">
        <v>2015</v>
      </c>
      <c r="B76" s="20"/>
      <c r="C76" s="20"/>
      <c r="D76" s="20" t="s">
        <v>161</v>
      </c>
      <c r="E76" s="60">
        <v>17</v>
      </c>
      <c r="F76" s="20">
        <v>5.07</v>
      </c>
      <c r="G76" s="20">
        <v>19</v>
      </c>
      <c r="H76" t="str">
        <f>IF(C76='FOCUS C'!$E$9,D76,"")</f>
        <v/>
      </c>
    </row>
    <row r="77" spans="1:8">
      <c r="A77" s="20">
        <v>2015</v>
      </c>
      <c r="B77" s="20"/>
      <c r="C77" s="20"/>
      <c r="D77" s="20" t="s">
        <v>162</v>
      </c>
      <c r="E77" s="60">
        <v>20</v>
      </c>
      <c r="F77" s="20">
        <v>2.67</v>
      </c>
      <c r="G77" s="20">
        <v>21</v>
      </c>
      <c r="H77" t="str">
        <f>IF(C77='FOCUS C'!$E$9,D77,"")</f>
        <v/>
      </c>
    </row>
    <row r="78" spans="1:8">
      <c r="A78" s="20">
        <v>2015</v>
      </c>
      <c r="B78" s="20"/>
      <c r="C78" s="20"/>
      <c r="D78" s="20" t="s">
        <v>163</v>
      </c>
      <c r="E78" s="60">
        <v>18</v>
      </c>
      <c r="F78" s="20">
        <v>16.440000000000001</v>
      </c>
      <c r="G78" s="20">
        <v>20</v>
      </c>
      <c r="H78" t="str">
        <f>IF(C78='FOCUS C'!$E$9,D78,"")</f>
        <v/>
      </c>
    </row>
    <row r="79" spans="1:8">
      <c r="A79" s="20">
        <v>2015</v>
      </c>
      <c r="B79" s="20"/>
      <c r="C79" s="20"/>
      <c r="D79" s="20" t="s">
        <v>164</v>
      </c>
      <c r="E79" s="60">
        <v>10</v>
      </c>
      <c r="F79" s="20">
        <v>21.88</v>
      </c>
      <c r="G79" s="20">
        <v>12</v>
      </c>
      <c r="H79" t="str">
        <f>IF(C79='FOCUS C'!$E$9,D79,"")</f>
        <v/>
      </c>
    </row>
    <row r="80" spans="1:8">
      <c r="A80" s="20">
        <v>2015</v>
      </c>
      <c r="B80" s="20"/>
      <c r="C80" s="20"/>
      <c r="D80" s="20" t="s">
        <v>165</v>
      </c>
      <c r="E80" s="60">
        <v>13</v>
      </c>
      <c r="F80" s="20">
        <v>5.67</v>
      </c>
      <c r="G80" s="20">
        <v>15</v>
      </c>
      <c r="H80" t="str">
        <f>IF(C80='FOCUS C'!$E$9,D80,"")</f>
        <v/>
      </c>
    </row>
    <row r="81" spans="1:8">
      <c r="A81" s="20">
        <v>2015</v>
      </c>
      <c r="B81" s="20"/>
      <c r="C81" s="20"/>
      <c r="D81" s="20" t="s">
        <v>166</v>
      </c>
      <c r="E81" s="60">
        <v>25</v>
      </c>
      <c r="F81" s="20">
        <v>3.69</v>
      </c>
      <c r="G81" s="20">
        <v>15</v>
      </c>
      <c r="H81" t="str">
        <f>IF(C81='FOCUS C'!$E$9,D81,"")</f>
        <v/>
      </c>
    </row>
    <row r="82" spans="1:8">
      <c r="A82" s="20">
        <v>2015</v>
      </c>
      <c r="B82" s="20"/>
      <c r="C82" s="20"/>
      <c r="D82" s="20" t="s">
        <v>167</v>
      </c>
      <c r="E82" s="60">
        <v>21</v>
      </c>
      <c r="F82" s="20">
        <v>4.12</v>
      </c>
      <c r="G82" s="20">
        <v>22</v>
      </c>
      <c r="H82" t="str">
        <f>IF(C82='FOCUS C'!$E$9,D82,"")</f>
        <v/>
      </c>
    </row>
    <row r="83" spans="1:8">
      <c r="A83" s="20">
        <v>2015</v>
      </c>
      <c r="B83" s="20"/>
      <c r="C83" s="20"/>
      <c r="D83" s="20" t="s">
        <v>168</v>
      </c>
      <c r="E83" s="60">
        <v>21</v>
      </c>
      <c r="F83" s="20">
        <v>4.42</v>
      </c>
      <c r="G83" s="20">
        <v>22</v>
      </c>
      <c r="H83" t="str">
        <f>IF(C83='FOCUS C'!$E$9,D83,"")</f>
        <v/>
      </c>
    </row>
    <row r="84" spans="1:8">
      <c r="A84" s="20">
        <v>2015</v>
      </c>
      <c r="B84" s="20"/>
      <c r="C84" s="20"/>
      <c r="D84" s="20" t="s">
        <v>169</v>
      </c>
      <c r="E84" s="60">
        <v>12</v>
      </c>
      <c r="F84" s="20">
        <v>12.06</v>
      </c>
      <c r="G84" s="20">
        <v>14</v>
      </c>
      <c r="H84" t="str">
        <f>IF(C84='FOCUS C'!$E$9,D84,"")</f>
        <v/>
      </c>
    </row>
    <row r="85" spans="1:8" ht="16" thickBot="1">
      <c r="A85" s="97">
        <v>2015</v>
      </c>
      <c r="B85" s="97"/>
      <c r="C85" s="97"/>
      <c r="D85" s="97" t="s">
        <v>170</v>
      </c>
      <c r="E85" s="98">
        <v>2</v>
      </c>
      <c r="F85" s="97">
        <v>1.26</v>
      </c>
      <c r="G85" s="97">
        <v>11</v>
      </c>
      <c r="H85" t="str">
        <f>IF(C85='FOCUS C'!$E$9,D85,"")</f>
        <v/>
      </c>
    </row>
    <row r="86" spans="1:8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OFFSET(VARIETE!$A$1,,,,COUNTA(VARIETE!$1:$1))</xm:f>
          </x14:formula1>
          <xm:sqref>B2:B85</xm:sqref>
        </x14:dataValidation>
        <x14:dataValidation type="list" allowBlank="1" showInputMessage="1" showErrorMessage="1">
          <x14:formula1>
            <xm:f>OFFSET(VARIETE!$A$1,1,MATCH($B$2,VARIETE!$1:$1,0)-1,COUNTA(OFFSET(VARIETE!$A$1,1,MATCH($B$2,VARIETE!$1:$1,0)-1,99)))</xm:f>
          </x14:formula1>
          <xm:sqref>C2</xm:sqref>
        </x14:dataValidation>
        <x14:dataValidation type="list" allowBlank="1" showInputMessage="1" showErrorMessage="1">
          <x14:formula1>
            <xm:f>OFFSET(VARIETE!$A$1,1,MATCH($B$3,VARIETE!$1:$1,0)-1,COUNTA(OFFSET(VARIETE!$A$1,1,MATCH($B$3,VARIETE!$1:$1,0)-1,99)))</xm:f>
          </x14:formula1>
          <xm:sqref>C3</xm:sqref>
        </x14:dataValidation>
        <x14:dataValidation type="list" allowBlank="1" showInputMessage="1" showErrorMessage="1">
          <x14:formula1>
            <xm:f>OFFSET(VARIETE!$A$1,1,MATCH(B4,VARIETE!$1:$1,0)-1,COUNTA(OFFSET(VARIETE!$A$1,1,MATCH(B4,VARIETE!$1:$1,0)-1,99)))</xm:f>
          </x14:formula1>
          <xm:sqref>C4:C85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L75"/>
  <sheetViews>
    <sheetView showGridLines="0" topLeftCell="B1" workbookViewId="0">
      <pane ySplit="1" topLeftCell="A32" activePane="bottomLeft" state="frozen"/>
      <selection pane="bottomLeft" activeCell="C52" sqref="C52"/>
    </sheetView>
  </sheetViews>
  <sheetFormatPr baseColWidth="10" defaultRowHeight="15" x14ac:dyDescent="0"/>
  <cols>
    <col min="1" max="1" width="11.1640625" style="1" bestFit="1" customWidth="1"/>
    <col min="2" max="2" width="10.83203125" style="10"/>
    <col min="3" max="3" width="22.6640625" style="1" customWidth="1"/>
    <col min="4" max="4" width="14.1640625" style="1" customWidth="1"/>
    <col min="5" max="5" width="10.83203125" style="1"/>
    <col min="6" max="6" width="14.33203125" style="1" customWidth="1"/>
    <col min="7" max="7" width="17.1640625" style="1" customWidth="1"/>
    <col min="8" max="8" width="16.33203125" style="1" customWidth="1"/>
    <col min="9" max="9" width="39.83203125" customWidth="1"/>
    <col min="10" max="10" width="13.6640625" customWidth="1"/>
    <col min="11" max="11" width="29.83203125" customWidth="1"/>
    <col min="12" max="12" width="136.1640625" customWidth="1"/>
  </cols>
  <sheetData>
    <row r="1" spans="1:12" s="4" customFormat="1" ht="21" customHeight="1" thickBot="1">
      <c r="A1" s="3" t="s">
        <v>1</v>
      </c>
      <c r="B1" s="5" t="s">
        <v>0</v>
      </c>
      <c r="C1" s="3" t="s">
        <v>3</v>
      </c>
      <c r="D1" s="3" t="s">
        <v>2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92</v>
      </c>
      <c r="J1" s="3" t="s">
        <v>109</v>
      </c>
      <c r="K1" s="3" t="s">
        <v>113</v>
      </c>
      <c r="L1" s="3" t="s">
        <v>94</v>
      </c>
    </row>
    <row r="2" spans="1:12" ht="16" thickTop="1">
      <c r="A2" s="1">
        <v>2013</v>
      </c>
      <c r="B2" s="6">
        <v>41085</v>
      </c>
      <c r="C2" s="1" t="s">
        <v>11</v>
      </c>
      <c r="D2" s="1" t="s">
        <v>8</v>
      </c>
      <c r="E2" s="7">
        <v>13800</v>
      </c>
      <c r="F2" s="8">
        <v>6941</v>
      </c>
      <c r="G2" s="2">
        <f>F2/E2</f>
        <v>0.50297101449275361</v>
      </c>
      <c r="H2" s="1" t="s">
        <v>10</v>
      </c>
    </row>
    <row r="3" spans="1:12">
      <c r="A3" s="1">
        <v>2013</v>
      </c>
      <c r="B3" s="6">
        <v>41089</v>
      </c>
      <c r="C3" s="1" t="s">
        <v>12</v>
      </c>
      <c r="D3" s="1" t="s">
        <v>8</v>
      </c>
      <c r="E3" s="7">
        <v>10200</v>
      </c>
      <c r="F3" s="8">
        <v>2142</v>
      </c>
      <c r="G3" s="2">
        <f t="shared" ref="G3:G61" si="0">F3/E3</f>
        <v>0.21</v>
      </c>
      <c r="H3" s="1" t="s">
        <v>10</v>
      </c>
    </row>
    <row r="4" spans="1:12">
      <c r="A4" s="1">
        <v>2013</v>
      </c>
      <c r="B4" s="6">
        <v>41151</v>
      </c>
      <c r="C4" s="1" t="s">
        <v>16</v>
      </c>
      <c r="D4" s="1" t="s">
        <v>15</v>
      </c>
      <c r="E4" s="7">
        <v>260</v>
      </c>
      <c r="F4" s="8">
        <v>1170</v>
      </c>
      <c r="G4" s="2">
        <f t="shared" si="0"/>
        <v>4.5</v>
      </c>
      <c r="H4" s="1" t="s">
        <v>10</v>
      </c>
      <c r="I4" s="18" t="s">
        <v>96</v>
      </c>
      <c r="J4" s="18"/>
      <c r="K4" s="18"/>
      <c r="L4" s="4" t="s">
        <v>98</v>
      </c>
    </row>
    <row r="5" spans="1:12">
      <c r="A5" s="1">
        <v>2013</v>
      </c>
      <c r="B5" s="6">
        <v>41177</v>
      </c>
      <c r="C5" s="1" t="s">
        <v>11</v>
      </c>
      <c r="D5" s="1" t="s">
        <v>8</v>
      </c>
      <c r="E5" s="7">
        <v>16200</v>
      </c>
      <c r="F5" s="8">
        <v>8148.6</v>
      </c>
      <c r="G5" s="2">
        <f t="shared" si="0"/>
        <v>0.503</v>
      </c>
      <c r="H5" s="1" t="s">
        <v>10</v>
      </c>
    </row>
    <row r="6" spans="1:12">
      <c r="A6" s="1">
        <v>2013</v>
      </c>
      <c r="B6" s="6">
        <v>41177</v>
      </c>
      <c r="C6" s="1" t="s">
        <v>13</v>
      </c>
      <c r="D6" s="1" t="s">
        <v>8</v>
      </c>
      <c r="E6" s="7">
        <v>10200</v>
      </c>
      <c r="F6" s="8">
        <v>3763.8</v>
      </c>
      <c r="G6" s="2">
        <f t="shared" si="0"/>
        <v>0.36899999999999999</v>
      </c>
      <c r="H6" s="1" t="s">
        <v>10</v>
      </c>
    </row>
    <row r="7" spans="1:12">
      <c r="A7" s="1">
        <v>2013</v>
      </c>
      <c r="B7" s="6">
        <v>41177</v>
      </c>
      <c r="C7" s="1" t="s">
        <v>12</v>
      </c>
      <c r="D7" s="1" t="s">
        <v>8</v>
      </c>
      <c r="E7" s="7">
        <v>3000</v>
      </c>
      <c r="F7" s="8">
        <v>705</v>
      </c>
      <c r="G7" s="2">
        <f t="shared" si="0"/>
        <v>0.23499999999999999</v>
      </c>
      <c r="H7" s="1" t="s">
        <v>10</v>
      </c>
    </row>
    <row r="8" spans="1:12">
      <c r="A8" s="1">
        <v>2013</v>
      </c>
      <c r="B8" s="6">
        <v>41177</v>
      </c>
      <c r="C8" s="1" t="s">
        <v>9</v>
      </c>
      <c r="D8" s="1" t="s">
        <v>8</v>
      </c>
      <c r="E8" s="7">
        <v>10500</v>
      </c>
      <c r="F8" s="8">
        <v>2310</v>
      </c>
      <c r="G8" s="2">
        <f t="shared" si="0"/>
        <v>0.22</v>
      </c>
      <c r="H8" s="1" t="s">
        <v>10</v>
      </c>
    </row>
    <row r="9" spans="1:12">
      <c r="A9" s="1">
        <v>2013</v>
      </c>
      <c r="B9" s="6">
        <v>41187</v>
      </c>
      <c r="C9" s="1" t="s">
        <v>17</v>
      </c>
      <c r="D9" s="1" t="s">
        <v>15</v>
      </c>
      <c r="E9" s="7">
        <v>60</v>
      </c>
      <c r="F9" s="8">
        <v>825</v>
      </c>
      <c r="G9" s="2">
        <f t="shared" si="0"/>
        <v>13.75</v>
      </c>
      <c r="H9" s="1" t="s">
        <v>10</v>
      </c>
    </row>
    <row r="10" spans="1:12">
      <c r="A10" s="1">
        <v>2013</v>
      </c>
      <c r="B10" s="6">
        <v>41187</v>
      </c>
      <c r="C10" s="1" t="s">
        <v>39</v>
      </c>
      <c r="D10" s="1" t="s">
        <v>37</v>
      </c>
      <c r="E10" s="7">
        <v>600</v>
      </c>
      <c r="F10" s="8">
        <v>483</v>
      </c>
      <c r="G10" s="2">
        <f t="shared" si="0"/>
        <v>0.80500000000000005</v>
      </c>
      <c r="H10" s="1" t="s">
        <v>10</v>
      </c>
    </row>
    <row r="11" spans="1:12">
      <c r="A11" s="1">
        <v>2013</v>
      </c>
      <c r="B11" s="6">
        <v>41187</v>
      </c>
      <c r="C11" s="1" t="s">
        <v>41</v>
      </c>
      <c r="D11" s="1" t="s">
        <v>37</v>
      </c>
      <c r="E11" s="7">
        <v>600</v>
      </c>
      <c r="F11" s="8">
        <v>483</v>
      </c>
      <c r="G11" s="2">
        <f t="shared" si="0"/>
        <v>0.80500000000000005</v>
      </c>
      <c r="H11" s="1" t="s">
        <v>10</v>
      </c>
    </row>
    <row r="12" spans="1:12">
      <c r="A12" s="1">
        <v>2013</v>
      </c>
      <c r="B12" s="6">
        <v>41187</v>
      </c>
      <c r="C12" s="1" t="s">
        <v>40</v>
      </c>
      <c r="D12" s="1" t="s">
        <v>37</v>
      </c>
      <c r="E12" s="7">
        <v>600</v>
      </c>
      <c r="F12" s="8">
        <v>483</v>
      </c>
      <c r="G12" s="2">
        <f t="shared" si="0"/>
        <v>0.80500000000000005</v>
      </c>
      <c r="H12" s="1" t="s">
        <v>10</v>
      </c>
    </row>
    <row r="13" spans="1:12">
      <c r="A13" s="1">
        <v>2013</v>
      </c>
      <c r="B13" s="6">
        <v>41187</v>
      </c>
      <c r="C13" s="1" t="s">
        <v>42</v>
      </c>
      <c r="D13" s="1" t="s">
        <v>37</v>
      </c>
      <c r="E13" s="7">
        <v>600</v>
      </c>
      <c r="F13" s="8">
        <v>483</v>
      </c>
      <c r="G13" s="2">
        <f t="shared" si="0"/>
        <v>0.80500000000000005</v>
      </c>
      <c r="H13" s="1" t="s">
        <v>10</v>
      </c>
    </row>
    <row r="14" spans="1:12">
      <c r="A14" s="1">
        <v>2013</v>
      </c>
      <c r="B14" s="6">
        <v>41187</v>
      </c>
      <c r="C14" s="1" t="s">
        <v>38</v>
      </c>
      <c r="D14" s="1" t="s">
        <v>37</v>
      </c>
      <c r="E14" s="7">
        <v>2700</v>
      </c>
      <c r="F14" s="8">
        <v>1942.95</v>
      </c>
      <c r="G14" s="2">
        <f t="shared" si="0"/>
        <v>0.71961111111111109</v>
      </c>
      <c r="H14" s="1" t="s">
        <v>10</v>
      </c>
    </row>
    <row r="15" spans="1:12">
      <c r="A15" s="1">
        <v>2013</v>
      </c>
      <c r="B15" s="6">
        <v>41190</v>
      </c>
      <c r="C15" s="1" t="s">
        <v>44</v>
      </c>
      <c r="D15" s="1" t="s">
        <v>37</v>
      </c>
      <c r="E15" s="7">
        <v>5100</v>
      </c>
      <c r="F15" s="8">
        <v>1325</v>
      </c>
      <c r="G15" s="2">
        <f t="shared" si="0"/>
        <v>0.25980392156862747</v>
      </c>
      <c r="H15" s="1" t="s">
        <v>10</v>
      </c>
    </row>
    <row r="16" spans="1:12">
      <c r="A16" s="1">
        <v>2013</v>
      </c>
      <c r="B16" s="6">
        <v>41190</v>
      </c>
      <c r="C16" s="1" t="s">
        <v>43</v>
      </c>
      <c r="D16" s="1" t="s">
        <v>37</v>
      </c>
      <c r="E16" s="7">
        <v>4223</v>
      </c>
      <c r="F16" s="8">
        <v>1098</v>
      </c>
      <c r="G16" s="2">
        <f t="shared" si="0"/>
        <v>0.26000473596968982</v>
      </c>
      <c r="H16" s="1" t="s">
        <v>10</v>
      </c>
    </row>
    <row r="17" spans="1:12">
      <c r="A17" s="1">
        <v>2013</v>
      </c>
      <c r="B17" s="6">
        <v>41190</v>
      </c>
      <c r="C17" s="1" t="s">
        <v>45</v>
      </c>
      <c r="D17" s="1" t="s">
        <v>37</v>
      </c>
      <c r="E17" s="7">
        <v>1700</v>
      </c>
      <c r="F17" s="8">
        <v>442</v>
      </c>
      <c r="G17" s="2">
        <f t="shared" si="0"/>
        <v>0.26</v>
      </c>
      <c r="H17" s="1" t="s">
        <v>10</v>
      </c>
    </row>
    <row r="18" spans="1:12">
      <c r="A18" s="1">
        <v>2013</v>
      </c>
      <c r="B18" s="6">
        <v>41235</v>
      </c>
      <c r="C18" s="1" t="s">
        <v>25</v>
      </c>
      <c r="D18" s="1" t="s">
        <v>24</v>
      </c>
      <c r="E18" s="7">
        <v>120</v>
      </c>
      <c r="F18" s="8">
        <v>1321.2</v>
      </c>
      <c r="G18" s="2">
        <f t="shared" si="0"/>
        <v>11.01</v>
      </c>
      <c r="H18" s="1" t="s">
        <v>10</v>
      </c>
    </row>
    <row r="19" spans="1:12">
      <c r="A19" s="1">
        <v>2013</v>
      </c>
      <c r="B19" s="6">
        <v>41243</v>
      </c>
      <c r="C19" s="1" t="s">
        <v>14</v>
      </c>
      <c r="D19" s="1" t="s">
        <v>8</v>
      </c>
      <c r="E19" s="7">
        <v>25000</v>
      </c>
      <c r="F19" s="8">
        <v>10875</v>
      </c>
      <c r="G19" s="2">
        <f t="shared" si="0"/>
        <v>0.435</v>
      </c>
      <c r="H19" s="1" t="s">
        <v>10</v>
      </c>
      <c r="I19" s="18" t="s">
        <v>95</v>
      </c>
      <c r="J19" s="18"/>
      <c r="K19" s="18"/>
      <c r="L19" s="4" t="s">
        <v>97</v>
      </c>
    </row>
    <row r="20" spans="1:12">
      <c r="A20" s="1">
        <v>2013</v>
      </c>
      <c r="B20" s="6">
        <v>41275</v>
      </c>
      <c r="C20" s="1" t="s">
        <v>18</v>
      </c>
      <c r="D20" s="1" t="s">
        <v>15</v>
      </c>
      <c r="E20" s="7">
        <v>450</v>
      </c>
      <c r="F20" s="9">
        <v>301.5</v>
      </c>
      <c r="G20" s="2">
        <f t="shared" si="0"/>
        <v>0.67</v>
      </c>
      <c r="H20" s="1" t="s">
        <v>10</v>
      </c>
    </row>
    <row r="21" spans="1:12">
      <c r="A21" s="1">
        <v>2013</v>
      </c>
      <c r="B21" s="6">
        <v>41275</v>
      </c>
      <c r="C21" s="1" t="s">
        <v>26</v>
      </c>
      <c r="D21" s="1" t="s">
        <v>24</v>
      </c>
      <c r="E21" s="7">
        <v>60</v>
      </c>
      <c r="F21" s="8">
        <v>99.6</v>
      </c>
      <c r="G21" s="2">
        <f t="shared" si="0"/>
        <v>1.66</v>
      </c>
      <c r="H21" s="1" t="s">
        <v>10</v>
      </c>
    </row>
    <row r="22" spans="1:12">
      <c r="A22" s="1">
        <v>2013</v>
      </c>
      <c r="B22" s="6">
        <v>41275</v>
      </c>
      <c r="C22" s="1" t="s">
        <v>32</v>
      </c>
      <c r="D22" s="1" t="s">
        <v>31</v>
      </c>
      <c r="E22" s="7">
        <v>15</v>
      </c>
      <c r="F22" s="8">
        <v>595.04999999999995</v>
      </c>
      <c r="G22" s="2">
        <f t="shared" si="0"/>
        <v>39.669999999999995</v>
      </c>
      <c r="H22" s="1" t="s">
        <v>10</v>
      </c>
      <c r="I22" t="s">
        <v>107</v>
      </c>
      <c r="K22" t="s">
        <v>114</v>
      </c>
      <c r="L22" t="s">
        <v>112</v>
      </c>
    </row>
    <row r="23" spans="1:12">
      <c r="A23" s="1">
        <v>2013</v>
      </c>
      <c r="B23" s="6">
        <v>41275</v>
      </c>
      <c r="C23" s="1" t="s">
        <v>27</v>
      </c>
      <c r="D23" s="1" t="s">
        <v>24</v>
      </c>
      <c r="E23" s="7">
        <v>13</v>
      </c>
      <c r="F23" s="8">
        <v>11.44</v>
      </c>
      <c r="G23" s="2">
        <f t="shared" si="0"/>
        <v>0.88</v>
      </c>
      <c r="H23" s="1" t="s">
        <v>10</v>
      </c>
    </row>
    <row r="24" spans="1:12">
      <c r="A24" s="1">
        <v>2013</v>
      </c>
      <c r="B24" s="6">
        <v>41320</v>
      </c>
      <c r="C24" s="1" t="s">
        <v>14</v>
      </c>
      <c r="D24" s="1" t="s">
        <v>8</v>
      </c>
      <c r="E24" s="7">
        <v>24000</v>
      </c>
      <c r="F24" s="8">
        <v>9648</v>
      </c>
      <c r="G24" s="2">
        <f t="shared" si="0"/>
        <v>0.40200000000000002</v>
      </c>
      <c r="H24" s="1" t="s">
        <v>10</v>
      </c>
      <c r="I24" s="18" t="s">
        <v>95</v>
      </c>
      <c r="J24" s="18"/>
      <c r="K24" s="18"/>
      <c r="L24" s="4" t="s">
        <v>97</v>
      </c>
    </row>
    <row r="25" spans="1:12">
      <c r="A25" s="1">
        <v>2013</v>
      </c>
      <c r="B25" s="6">
        <v>41337</v>
      </c>
      <c r="C25" s="1" t="s">
        <v>20</v>
      </c>
      <c r="D25" s="1" t="s">
        <v>15</v>
      </c>
      <c r="E25" s="7">
        <v>60</v>
      </c>
      <c r="F25" s="8">
        <v>1860</v>
      </c>
      <c r="G25" s="2">
        <f t="shared" si="0"/>
        <v>31</v>
      </c>
      <c r="H25" s="1" t="s">
        <v>10</v>
      </c>
    </row>
    <row r="26" spans="1:12">
      <c r="A26" s="1">
        <v>2013</v>
      </c>
      <c r="B26" s="6">
        <v>41337</v>
      </c>
      <c r="C26" s="1" t="s">
        <v>28</v>
      </c>
      <c r="D26" s="1" t="s">
        <v>24</v>
      </c>
      <c r="E26" s="7">
        <v>100</v>
      </c>
      <c r="F26" s="8">
        <v>290</v>
      </c>
      <c r="G26" s="2">
        <f t="shared" si="0"/>
        <v>2.9</v>
      </c>
      <c r="H26" s="1" t="s">
        <v>10</v>
      </c>
    </row>
    <row r="27" spans="1:12">
      <c r="A27" s="1">
        <v>2013</v>
      </c>
      <c r="B27" s="6">
        <v>41337</v>
      </c>
      <c r="C27" s="1" t="s">
        <v>16</v>
      </c>
      <c r="D27" s="1" t="s">
        <v>15</v>
      </c>
      <c r="E27" s="7">
        <v>40</v>
      </c>
      <c r="F27" s="8">
        <v>253.55</v>
      </c>
      <c r="G27" s="2">
        <f t="shared" si="0"/>
        <v>6.3387500000000001</v>
      </c>
      <c r="H27" s="1" t="s">
        <v>10</v>
      </c>
      <c r="I27" s="18" t="s">
        <v>96</v>
      </c>
      <c r="J27" s="18"/>
      <c r="K27" s="18"/>
      <c r="L27" s="4" t="s">
        <v>98</v>
      </c>
    </row>
    <row r="28" spans="1:12">
      <c r="A28" s="1">
        <v>2013</v>
      </c>
      <c r="B28" s="6">
        <v>41337</v>
      </c>
      <c r="C28" s="1" t="s">
        <v>16</v>
      </c>
      <c r="D28" s="1" t="s">
        <v>15</v>
      </c>
      <c r="E28" s="7">
        <v>160</v>
      </c>
      <c r="F28" s="8">
        <v>848</v>
      </c>
      <c r="G28" s="2">
        <f t="shared" si="0"/>
        <v>5.3</v>
      </c>
      <c r="H28" s="1" t="s">
        <v>10</v>
      </c>
      <c r="I28" s="18" t="s">
        <v>96</v>
      </c>
      <c r="J28" s="18"/>
      <c r="K28" s="18"/>
      <c r="L28" s="4" t="s">
        <v>98</v>
      </c>
    </row>
    <row r="29" spans="1:12">
      <c r="A29" s="1">
        <v>2013</v>
      </c>
      <c r="B29" s="6">
        <v>41337</v>
      </c>
      <c r="C29" s="1" t="s">
        <v>22</v>
      </c>
      <c r="D29" s="1" t="s">
        <v>15</v>
      </c>
      <c r="E29" s="7">
        <v>960</v>
      </c>
      <c r="F29" s="8">
        <v>760</v>
      </c>
      <c r="G29" s="2">
        <f t="shared" si="0"/>
        <v>0.79166666666666663</v>
      </c>
      <c r="H29" s="1" t="s">
        <v>10</v>
      </c>
    </row>
    <row r="30" spans="1:12">
      <c r="A30" s="1">
        <v>2013</v>
      </c>
      <c r="B30" s="6">
        <v>41337</v>
      </c>
      <c r="C30" s="1" t="s">
        <v>21</v>
      </c>
      <c r="D30" s="1" t="s">
        <v>15</v>
      </c>
      <c r="E30" s="7">
        <v>3600</v>
      </c>
      <c r="F30" s="8">
        <v>780</v>
      </c>
      <c r="G30" s="2">
        <f t="shared" si="0"/>
        <v>0.21666666666666667</v>
      </c>
      <c r="H30" s="1" t="s">
        <v>10</v>
      </c>
    </row>
    <row r="31" spans="1:12">
      <c r="A31" s="1">
        <v>2013</v>
      </c>
      <c r="B31" s="6">
        <v>41337</v>
      </c>
      <c r="C31" s="1" t="s">
        <v>33</v>
      </c>
      <c r="D31" s="1" t="s">
        <v>31</v>
      </c>
      <c r="E31" s="7">
        <v>75</v>
      </c>
      <c r="F31" s="8">
        <v>675</v>
      </c>
      <c r="G31" s="2">
        <f t="shared" si="0"/>
        <v>9</v>
      </c>
      <c r="H31" s="1" t="s">
        <v>10</v>
      </c>
    </row>
    <row r="32" spans="1:12">
      <c r="A32" s="1">
        <v>2013</v>
      </c>
      <c r="B32" s="6">
        <v>41337</v>
      </c>
      <c r="C32" s="1" t="s">
        <v>23</v>
      </c>
      <c r="D32" s="1" t="s">
        <v>15</v>
      </c>
      <c r="E32" s="7">
        <v>135</v>
      </c>
      <c r="F32" s="8">
        <v>2708.1</v>
      </c>
      <c r="G32" s="2">
        <f t="shared" si="0"/>
        <v>20.059999999999999</v>
      </c>
      <c r="H32" s="1" t="s">
        <v>10</v>
      </c>
    </row>
    <row r="33" spans="1:12">
      <c r="A33" s="20">
        <v>2013</v>
      </c>
      <c r="B33" s="6">
        <v>41337</v>
      </c>
      <c r="C33" s="20" t="s">
        <v>90</v>
      </c>
      <c r="D33" s="20" t="s">
        <v>15</v>
      </c>
      <c r="E33" s="21">
        <v>80</v>
      </c>
      <c r="F33" s="22">
        <v>2744</v>
      </c>
      <c r="G33" s="2">
        <f t="shared" si="0"/>
        <v>34.299999999999997</v>
      </c>
      <c r="H33" s="20" t="s">
        <v>10</v>
      </c>
      <c r="I33" s="19" t="s">
        <v>91</v>
      </c>
      <c r="J33" s="19"/>
      <c r="K33" s="19"/>
      <c r="L33" s="4" t="s">
        <v>93</v>
      </c>
    </row>
    <row r="34" spans="1:12">
      <c r="A34" s="1">
        <v>2013</v>
      </c>
      <c r="B34" s="6">
        <v>41337</v>
      </c>
      <c r="C34" s="1" t="s">
        <v>34</v>
      </c>
      <c r="D34" s="1" t="s">
        <v>31</v>
      </c>
      <c r="E34" s="7">
        <v>60</v>
      </c>
      <c r="F34" s="8">
        <v>1854.6</v>
      </c>
      <c r="G34" s="2">
        <f t="shared" si="0"/>
        <v>30.91</v>
      </c>
      <c r="H34" s="1" t="s">
        <v>10</v>
      </c>
    </row>
    <row r="35" spans="1:12">
      <c r="A35" s="99">
        <v>2013</v>
      </c>
      <c r="B35" s="100">
        <v>41337</v>
      </c>
      <c r="C35" s="99" t="s">
        <v>19</v>
      </c>
      <c r="D35" s="99" t="s">
        <v>15</v>
      </c>
      <c r="E35" s="101">
        <v>1200</v>
      </c>
      <c r="F35" s="102">
        <v>401</v>
      </c>
      <c r="G35" s="2">
        <f t="shared" si="0"/>
        <v>0.33416666666666667</v>
      </c>
      <c r="H35" s="99" t="s">
        <v>10</v>
      </c>
    </row>
    <row r="36" spans="1:12">
      <c r="A36" s="31">
        <v>2013</v>
      </c>
      <c r="B36" s="100">
        <v>41337</v>
      </c>
      <c r="C36" s="31" t="s">
        <v>84</v>
      </c>
      <c r="D36" s="31" t="s">
        <v>15</v>
      </c>
      <c r="E36" s="33">
        <v>1</v>
      </c>
      <c r="F36" s="34">
        <v>320</v>
      </c>
      <c r="G36" s="2">
        <f t="shared" si="0"/>
        <v>320</v>
      </c>
      <c r="H36" s="31" t="s">
        <v>10</v>
      </c>
    </row>
    <row r="37" spans="1:12">
      <c r="A37" s="1">
        <v>2013</v>
      </c>
      <c r="B37" s="6">
        <v>41337</v>
      </c>
      <c r="C37" s="1" t="s">
        <v>29</v>
      </c>
      <c r="D37" s="1" t="s">
        <v>24</v>
      </c>
      <c r="E37" s="7">
        <v>230</v>
      </c>
      <c r="F37" s="8">
        <v>851</v>
      </c>
      <c r="G37" s="2">
        <f t="shared" si="0"/>
        <v>3.7</v>
      </c>
      <c r="H37" s="1" t="s">
        <v>10</v>
      </c>
    </row>
    <row r="38" spans="1:12">
      <c r="A38" s="31">
        <v>2013</v>
      </c>
      <c r="B38" s="32">
        <v>41364</v>
      </c>
      <c r="C38" s="31" t="s">
        <v>83</v>
      </c>
      <c r="D38" s="31" t="s">
        <v>15</v>
      </c>
      <c r="E38" s="33">
        <v>15</v>
      </c>
      <c r="F38" s="34">
        <v>465</v>
      </c>
      <c r="G38" s="2">
        <f t="shared" si="0"/>
        <v>31</v>
      </c>
      <c r="H38" s="31" t="s">
        <v>10</v>
      </c>
    </row>
    <row r="39" spans="1:12">
      <c r="A39" s="1">
        <v>2013</v>
      </c>
      <c r="B39" s="6">
        <v>41376</v>
      </c>
      <c r="C39" s="1" t="s">
        <v>72</v>
      </c>
      <c r="D39" s="1" t="s">
        <v>31</v>
      </c>
      <c r="E39" s="7">
        <v>30</v>
      </c>
      <c r="F39" s="8">
        <v>1110</v>
      </c>
      <c r="G39" s="2">
        <f t="shared" si="0"/>
        <v>37</v>
      </c>
      <c r="H39" s="1" t="s">
        <v>10</v>
      </c>
      <c r="I39" t="s">
        <v>108</v>
      </c>
      <c r="J39" t="s">
        <v>110</v>
      </c>
      <c r="K39" t="s">
        <v>115</v>
      </c>
      <c r="L39" t="s">
        <v>111</v>
      </c>
    </row>
    <row r="40" spans="1:12">
      <c r="A40" s="1">
        <v>2013</v>
      </c>
      <c r="B40" s="6">
        <v>41376</v>
      </c>
      <c r="C40" s="1" t="s">
        <v>36</v>
      </c>
      <c r="D40" s="1" t="s">
        <v>31</v>
      </c>
      <c r="E40" s="7">
        <v>15</v>
      </c>
      <c r="F40" s="8">
        <v>885</v>
      </c>
      <c r="G40" s="2">
        <f t="shared" si="0"/>
        <v>59</v>
      </c>
      <c r="H40" s="1" t="s">
        <v>10</v>
      </c>
      <c r="I40" t="s">
        <v>117</v>
      </c>
      <c r="K40" t="s">
        <v>114</v>
      </c>
      <c r="L40" t="s">
        <v>116</v>
      </c>
    </row>
    <row r="41" spans="1:12">
      <c r="A41" s="1">
        <v>2013</v>
      </c>
      <c r="B41" s="6">
        <v>41376</v>
      </c>
      <c r="C41" s="1" t="s">
        <v>30</v>
      </c>
      <c r="D41" s="1" t="s">
        <v>24</v>
      </c>
      <c r="E41" s="7">
        <v>90</v>
      </c>
      <c r="F41" s="8">
        <v>1107</v>
      </c>
      <c r="G41" s="2">
        <f t="shared" si="0"/>
        <v>12.3</v>
      </c>
      <c r="H41" s="1" t="s">
        <v>10</v>
      </c>
    </row>
    <row r="42" spans="1:12">
      <c r="A42" s="31">
        <v>2013</v>
      </c>
      <c r="B42" s="6">
        <v>41376</v>
      </c>
      <c r="C42" s="1" t="s">
        <v>126</v>
      </c>
      <c r="D42" s="1" t="s">
        <v>37</v>
      </c>
      <c r="E42" s="7">
        <v>15</v>
      </c>
      <c r="F42" s="8">
        <v>2640</v>
      </c>
      <c r="G42" s="2">
        <f t="shared" si="0"/>
        <v>176</v>
      </c>
      <c r="H42" s="31" t="s">
        <v>10</v>
      </c>
    </row>
    <row r="43" spans="1:12">
      <c r="A43" s="31">
        <v>2013</v>
      </c>
      <c r="B43" s="6">
        <v>41376</v>
      </c>
      <c r="C43" s="1" t="s">
        <v>125</v>
      </c>
      <c r="D43" s="1" t="s">
        <v>37</v>
      </c>
      <c r="E43" s="7">
        <v>9</v>
      </c>
      <c r="F43" s="8">
        <v>1692</v>
      </c>
      <c r="G43" s="2">
        <f t="shared" si="0"/>
        <v>188</v>
      </c>
      <c r="H43" s="31" t="s">
        <v>10</v>
      </c>
    </row>
    <row r="44" spans="1:12">
      <c r="A44" s="1">
        <v>2013</v>
      </c>
      <c r="B44" s="6">
        <v>41376</v>
      </c>
      <c r="C44" s="1" t="s">
        <v>35</v>
      </c>
      <c r="D44" s="1" t="s">
        <v>31</v>
      </c>
      <c r="E44" s="7">
        <v>45</v>
      </c>
      <c r="F44" s="8">
        <v>648</v>
      </c>
      <c r="G44" s="2">
        <f t="shared" si="0"/>
        <v>14.4</v>
      </c>
      <c r="H44" s="1" t="s">
        <v>10</v>
      </c>
    </row>
    <row r="45" spans="1:12">
      <c r="A45" s="31">
        <v>2013</v>
      </c>
      <c r="B45" s="6">
        <v>41376</v>
      </c>
      <c r="C45" s="1" t="s">
        <v>35</v>
      </c>
      <c r="D45" s="31" t="s">
        <v>31</v>
      </c>
      <c r="E45" s="7">
        <v>20</v>
      </c>
      <c r="F45" s="8">
        <v>288</v>
      </c>
      <c r="G45" s="2">
        <f t="shared" si="0"/>
        <v>14.4</v>
      </c>
      <c r="H45" s="1" t="s">
        <v>10</v>
      </c>
    </row>
    <row r="46" spans="1:12">
      <c r="A46" s="31">
        <v>2013</v>
      </c>
      <c r="B46" s="6">
        <v>41376</v>
      </c>
      <c r="C46" s="1" t="s">
        <v>131</v>
      </c>
      <c r="D46" s="1" t="s">
        <v>37</v>
      </c>
      <c r="E46" s="7">
        <v>10</v>
      </c>
      <c r="F46" s="8">
        <v>2485.77</v>
      </c>
      <c r="G46" s="2">
        <f t="shared" si="0"/>
        <v>248.577</v>
      </c>
      <c r="H46" s="31" t="s">
        <v>10</v>
      </c>
    </row>
    <row r="47" spans="1:12">
      <c r="A47" s="31">
        <v>2013</v>
      </c>
      <c r="B47" s="32">
        <v>41396</v>
      </c>
      <c r="C47" s="31" t="s">
        <v>87</v>
      </c>
      <c r="D47" s="31" t="s">
        <v>31</v>
      </c>
      <c r="E47" s="33">
        <v>20</v>
      </c>
      <c r="F47" s="34">
        <v>400</v>
      </c>
      <c r="G47" s="2">
        <f t="shared" si="0"/>
        <v>20</v>
      </c>
      <c r="H47" s="31" t="s">
        <v>10</v>
      </c>
    </row>
    <row r="48" spans="1:12">
      <c r="A48" s="31">
        <v>2013</v>
      </c>
      <c r="B48" s="32">
        <v>41396</v>
      </c>
      <c r="C48" s="31" t="s">
        <v>88</v>
      </c>
      <c r="D48" s="31" t="s">
        <v>31</v>
      </c>
      <c r="E48" s="33">
        <v>50</v>
      </c>
      <c r="F48" s="34">
        <v>2700</v>
      </c>
      <c r="G48" s="2">
        <f t="shared" si="0"/>
        <v>54</v>
      </c>
      <c r="H48" s="31" t="s">
        <v>10</v>
      </c>
    </row>
    <row r="49" spans="1:12">
      <c r="A49" s="31">
        <v>2013</v>
      </c>
      <c r="B49" s="32">
        <v>41396</v>
      </c>
      <c r="C49" s="1" t="s">
        <v>35</v>
      </c>
      <c r="D49" s="31" t="s">
        <v>31</v>
      </c>
      <c r="E49" s="7">
        <v>35</v>
      </c>
      <c r="F49" s="8">
        <v>504</v>
      </c>
      <c r="G49" s="2">
        <f t="shared" si="0"/>
        <v>14.4</v>
      </c>
      <c r="H49" s="1" t="s">
        <v>10</v>
      </c>
    </row>
    <row r="50" spans="1:12">
      <c r="A50" s="31">
        <v>2013</v>
      </c>
      <c r="B50" s="32">
        <v>41424</v>
      </c>
      <c r="C50" s="1" t="s">
        <v>129</v>
      </c>
      <c r="D50" s="1" t="s">
        <v>37</v>
      </c>
      <c r="E50" s="7">
        <v>12</v>
      </c>
      <c r="F50" s="8">
        <v>1260</v>
      </c>
      <c r="G50" s="2">
        <f t="shared" si="0"/>
        <v>105</v>
      </c>
      <c r="H50" s="1" t="s">
        <v>10</v>
      </c>
    </row>
    <row r="51" spans="1:12">
      <c r="A51" s="31">
        <v>2013</v>
      </c>
      <c r="B51" s="32">
        <v>41424</v>
      </c>
      <c r="C51" s="1" t="s">
        <v>127</v>
      </c>
      <c r="D51" s="1" t="s">
        <v>24</v>
      </c>
      <c r="E51" s="7">
        <v>8</v>
      </c>
      <c r="F51" s="8">
        <v>264.56</v>
      </c>
      <c r="G51" s="2">
        <f t="shared" si="0"/>
        <v>33.07</v>
      </c>
      <c r="H51" s="1" t="s">
        <v>10</v>
      </c>
    </row>
    <row r="52" spans="1:12">
      <c r="A52" s="31">
        <v>2013</v>
      </c>
      <c r="B52" s="32">
        <v>41424</v>
      </c>
      <c r="C52" s="1" t="s">
        <v>136</v>
      </c>
      <c r="D52" s="1" t="s">
        <v>37</v>
      </c>
      <c r="E52" s="7">
        <v>270</v>
      </c>
      <c r="F52" s="8">
        <v>191.97</v>
      </c>
      <c r="G52" s="2">
        <f t="shared" si="0"/>
        <v>0.71099999999999997</v>
      </c>
      <c r="H52" s="1" t="s">
        <v>10</v>
      </c>
    </row>
    <row r="53" spans="1:12">
      <c r="A53" s="31">
        <v>2013</v>
      </c>
      <c r="B53" s="32">
        <v>41424</v>
      </c>
      <c r="C53" s="31" t="s">
        <v>71</v>
      </c>
      <c r="D53" s="31" t="s">
        <v>15</v>
      </c>
      <c r="E53" s="7">
        <v>20</v>
      </c>
      <c r="F53" s="8">
        <v>426.6</v>
      </c>
      <c r="G53" s="2">
        <f t="shared" si="0"/>
        <v>21.330000000000002</v>
      </c>
      <c r="H53" s="1" t="s">
        <v>10</v>
      </c>
    </row>
    <row r="54" spans="1:12">
      <c r="A54" s="31">
        <v>2013</v>
      </c>
      <c r="B54" s="32">
        <v>41424</v>
      </c>
      <c r="C54" s="31" t="s">
        <v>71</v>
      </c>
      <c r="D54" s="31" t="s">
        <v>15</v>
      </c>
      <c r="E54" s="7">
        <v>5</v>
      </c>
      <c r="F54" s="8">
        <v>106.65</v>
      </c>
      <c r="G54" s="2">
        <f t="shared" si="0"/>
        <v>21.330000000000002</v>
      </c>
      <c r="H54" s="1" t="s">
        <v>10</v>
      </c>
    </row>
    <row r="55" spans="1:12">
      <c r="A55" s="31">
        <v>2013</v>
      </c>
      <c r="B55" s="32">
        <v>41424</v>
      </c>
      <c r="C55" s="1" t="s">
        <v>130</v>
      </c>
      <c r="D55" s="1" t="s">
        <v>24</v>
      </c>
      <c r="E55" s="7">
        <v>140</v>
      </c>
      <c r="F55" s="8">
        <v>120</v>
      </c>
      <c r="G55" s="2">
        <f t="shared" si="0"/>
        <v>0.8571428571428571</v>
      </c>
      <c r="H55" s="1" t="s">
        <v>10</v>
      </c>
    </row>
    <row r="56" spans="1:12">
      <c r="A56" s="31">
        <v>2013</v>
      </c>
      <c r="B56" s="32">
        <v>41425</v>
      </c>
      <c r="C56" s="31" t="s">
        <v>85</v>
      </c>
      <c r="D56" s="31" t="s">
        <v>15</v>
      </c>
      <c r="E56" s="33">
        <v>60</v>
      </c>
      <c r="F56" s="34">
        <v>639.6</v>
      </c>
      <c r="G56" s="2">
        <f t="shared" si="0"/>
        <v>10.66</v>
      </c>
      <c r="H56" s="31" t="s">
        <v>10</v>
      </c>
    </row>
    <row r="57" spans="1:12">
      <c r="A57" s="31">
        <v>2013</v>
      </c>
      <c r="B57" s="118">
        <v>41425</v>
      </c>
      <c r="C57" s="31" t="s">
        <v>137</v>
      </c>
      <c r="D57" s="31" t="s">
        <v>24</v>
      </c>
      <c r="E57" s="33">
        <v>80</v>
      </c>
      <c r="F57" s="34">
        <v>408</v>
      </c>
      <c r="G57" s="2">
        <f t="shared" si="0"/>
        <v>5.0999999999999996</v>
      </c>
      <c r="H57" s="31" t="s">
        <v>10</v>
      </c>
      <c r="I57" s="119"/>
      <c r="J57" s="119"/>
      <c r="K57" s="119"/>
      <c r="L57" s="119"/>
    </row>
    <row r="58" spans="1:12">
      <c r="A58" s="16">
        <v>2013</v>
      </c>
      <c r="B58" s="17">
        <v>41439</v>
      </c>
      <c r="C58" s="16" t="s">
        <v>132</v>
      </c>
      <c r="D58" s="16" t="s">
        <v>37</v>
      </c>
      <c r="E58" s="174">
        <v>1</v>
      </c>
      <c r="F58" s="174">
        <v>1</v>
      </c>
      <c r="G58" s="174">
        <v>1</v>
      </c>
      <c r="H58" s="16" t="s">
        <v>10</v>
      </c>
    </row>
    <row r="59" spans="1:12">
      <c r="A59" s="16">
        <v>2013</v>
      </c>
      <c r="B59" s="17"/>
      <c r="C59" s="16" t="s">
        <v>124</v>
      </c>
      <c r="D59" s="16" t="s">
        <v>31</v>
      </c>
      <c r="E59" s="174">
        <v>1</v>
      </c>
      <c r="F59" s="174">
        <v>1</v>
      </c>
      <c r="G59" s="174">
        <v>1</v>
      </c>
      <c r="H59" s="16" t="s">
        <v>10</v>
      </c>
    </row>
    <row r="60" spans="1:12">
      <c r="A60" s="16">
        <v>2013</v>
      </c>
      <c r="B60" s="17"/>
      <c r="C60" s="16" t="s">
        <v>123</v>
      </c>
      <c r="D60" s="16" t="s">
        <v>15</v>
      </c>
      <c r="E60" s="174">
        <v>1</v>
      </c>
      <c r="F60" s="174">
        <v>1</v>
      </c>
      <c r="G60" s="174">
        <v>1</v>
      </c>
      <c r="H60" s="16" t="s">
        <v>10</v>
      </c>
    </row>
    <row r="61" spans="1:12" s="119" customFormat="1">
      <c r="A61" s="16">
        <v>2013</v>
      </c>
      <c r="B61" s="117"/>
      <c r="C61" s="16" t="s">
        <v>128</v>
      </c>
      <c r="D61" s="16" t="s">
        <v>37</v>
      </c>
      <c r="E61" s="174">
        <v>1</v>
      </c>
      <c r="F61" s="174">
        <v>1</v>
      </c>
      <c r="G61" s="174">
        <v>1</v>
      </c>
      <c r="H61" s="16" t="s">
        <v>10</v>
      </c>
      <c r="I61"/>
      <c r="J61"/>
      <c r="K61"/>
      <c r="L61"/>
    </row>
    <row r="62" spans="1:12">
      <c r="A62" s="16">
        <v>2013</v>
      </c>
      <c r="B62" s="17"/>
      <c r="C62" s="16" t="s">
        <v>134</v>
      </c>
      <c r="D62" s="16" t="s">
        <v>197</v>
      </c>
      <c r="E62" s="174">
        <v>1</v>
      </c>
      <c r="F62" s="174">
        <v>1</v>
      </c>
      <c r="G62" s="174">
        <v>1</v>
      </c>
      <c r="H62" s="16"/>
    </row>
    <row r="63" spans="1:12">
      <c r="A63" s="16">
        <v>2013</v>
      </c>
      <c r="B63" s="17"/>
      <c r="C63" s="16" t="s">
        <v>184</v>
      </c>
      <c r="D63" s="16" t="s">
        <v>185</v>
      </c>
      <c r="E63" s="174">
        <v>1</v>
      </c>
      <c r="F63" s="174">
        <v>1</v>
      </c>
      <c r="G63" s="174">
        <v>1</v>
      </c>
      <c r="H63" s="16"/>
    </row>
    <row r="64" spans="1:12">
      <c r="A64" s="16">
        <v>2013</v>
      </c>
      <c r="B64" s="17"/>
      <c r="C64" s="16" t="s">
        <v>177</v>
      </c>
      <c r="D64" s="16" t="s">
        <v>185</v>
      </c>
      <c r="E64" s="174">
        <v>1</v>
      </c>
      <c r="F64" s="174">
        <v>1</v>
      </c>
      <c r="G64" s="174">
        <v>1</v>
      </c>
      <c r="H64" s="16"/>
    </row>
    <row r="65" spans="1:8">
      <c r="A65" s="16">
        <v>2013</v>
      </c>
      <c r="B65" s="17"/>
      <c r="C65" s="16" t="s">
        <v>194</v>
      </c>
      <c r="D65" s="16" t="s">
        <v>185</v>
      </c>
      <c r="E65" s="174">
        <v>1</v>
      </c>
      <c r="F65" s="174">
        <v>1</v>
      </c>
      <c r="G65" s="174">
        <v>1</v>
      </c>
      <c r="H65" s="16"/>
    </row>
    <row r="66" spans="1:8">
      <c r="A66" s="16">
        <v>2013</v>
      </c>
      <c r="B66" s="17"/>
      <c r="C66" s="16" t="s">
        <v>178</v>
      </c>
      <c r="D66" s="16" t="s">
        <v>185</v>
      </c>
      <c r="E66" s="174">
        <v>1</v>
      </c>
      <c r="F66" s="174">
        <v>1</v>
      </c>
      <c r="G66" s="174">
        <v>1</v>
      </c>
      <c r="H66" s="16"/>
    </row>
    <row r="67" spans="1:8">
      <c r="A67" s="16">
        <v>2013</v>
      </c>
      <c r="B67" s="17"/>
      <c r="C67" s="16" t="s">
        <v>179</v>
      </c>
      <c r="D67" s="16" t="s">
        <v>185</v>
      </c>
      <c r="E67" s="174">
        <v>1</v>
      </c>
      <c r="F67" s="174">
        <v>1</v>
      </c>
      <c r="G67" s="174">
        <v>1</v>
      </c>
      <c r="H67" s="16"/>
    </row>
    <row r="68" spans="1:8">
      <c r="A68" s="16">
        <v>2013</v>
      </c>
      <c r="B68" s="17"/>
      <c r="C68" s="16" t="s">
        <v>180</v>
      </c>
      <c r="D68" s="16" t="s">
        <v>185</v>
      </c>
      <c r="E68" s="174">
        <v>1</v>
      </c>
      <c r="F68" s="174">
        <v>1</v>
      </c>
      <c r="G68" s="174">
        <v>1</v>
      </c>
      <c r="H68" s="16"/>
    </row>
    <row r="69" spans="1:8">
      <c r="A69" s="16">
        <v>2013</v>
      </c>
      <c r="B69" s="17"/>
      <c r="C69" s="16" t="s">
        <v>181</v>
      </c>
      <c r="D69" s="16" t="s">
        <v>185</v>
      </c>
      <c r="E69" s="174">
        <v>1</v>
      </c>
      <c r="F69" s="174">
        <v>1</v>
      </c>
      <c r="G69" s="174">
        <v>1</v>
      </c>
      <c r="H69" s="16"/>
    </row>
    <row r="70" spans="1:8">
      <c r="A70" s="16">
        <v>2013</v>
      </c>
      <c r="B70" s="17"/>
      <c r="C70" s="16" t="s">
        <v>182</v>
      </c>
      <c r="D70" s="16" t="s">
        <v>185</v>
      </c>
      <c r="E70" s="174">
        <v>1</v>
      </c>
      <c r="F70" s="174">
        <v>1</v>
      </c>
      <c r="G70" s="174">
        <v>1</v>
      </c>
      <c r="H70" s="16"/>
    </row>
    <row r="71" spans="1:8">
      <c r="A71" s="16">
        <v>2013</v>
      </c>
      <c r="B71" s="17"/>
      <c r="C71" s="16" t="s">
        <v>183</v>
      </c>
      <c r="D71" s="16" t="s">
        <v>185</v>
      </c>
      <c r="E71" s="174">
        <v>1</v>
      </c>
      <c r="F71" s="174">
        <v>1</v>
      </c>
      <c r="G71" s="174">
        <v>1</v>
      </c>
      <c r="H71" s="16"/>
    </row>
    <row r="72" spans="1:8">
      <c r="A72" s="16">
        <v>2013</v>
      </c>
      <c r="B72" s="17"/>
      <c r="C72" s="16" t="s">
        <v>193</v>
      </c>
      <c r="D72" s="16" t="s">
        <v>15</v>
      </c>
      <c r="E72" s="174">
        <v>1</v>
      </c>
      <c r="F72" s="174">
        <v>1</v>
      </c>
      <c r="G72" s="174">
        <v>1</v>
      </c>
      <c r="H72" s="16"/>
    </row>
    <row r="73" spans="1:8">
      <c r="A73" s="16">
        <v>2013</v>
      </c>
      <c r="B73" s="17"/>
      <c r="C73" s="16" t="s">
        <v>195</v>
      </c>
      <c r="D73" s="16" t="s">
        <v>8</v>
      </c>
      <c r="E73" s="174">
        <v>1</v>
      </c>
      <c r="F73" s="174">
        <v>1</v>
      </c>
      <c r="G73" s="174">
        <v>1</v>
      </c>
      <c r="H73" s="16"/>
    </row>
    <row r="74" spans="1:8">
      <c r="A74" s="16">
        <v>2013</v>
      </c>
      <c r="B74" s="17"/>
      <c r="C74" s="16" t="s">
        <v>189</v>
      </c>
      <c r="D74" s="16" t="s">
        <v>8</v>
      </c>
      <c r="E74" s="174">
        <v>1</v>
      </c>
      <c r="F74" s="174">
        <v>1</v>
      </c>
      <c r="G74" s="174">
        <v>1</v>
      </c>
      <c r="H74" s="16"/>
    </row>
    <row r="75" spans="1:8">
      <c r="A75" s="16">
        <v>2013</v>
      </c>
      <c r="B75" s="17"/>
      <c r="C75" s="173" t="s">
        <v>186</v>
      </c>
      <c r="D75" s="16" t="s">
        <v>196</v>
      </c>
      <c r="E75" s="174">
        <v>1</v>
      </c>
      <c r="F75" s="174">
        <v>1</v>
      </c>
      <c r="G75" s="174">
        <v>1</v>
      </c>
      <c r="H75" s="16" t="s">
        <v>198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F67"/>
  <sheetViews>
    <sheetView showGridLines="0" workbookViewId="0">
      <pane ySplit="1" topLeftCell="A29" activePane="bottomLeft" state="frozen"/>
      <selection pane="bottomLeft" activeCell="G53" sqref="G53"/>
    </sheetView>
  </sheetViews>
  <sheetFormatPr baseColWidth="10" defaultRowHeight="15" x14ac:dyDescent="0"/>
  <cols>
    <col min="1" max="5" width="16.83203125" style="1" customWidth="1"/>
    <col min="6" max="6" width="17" customWidth="1"/>
  </cols>
  <sheetData>
    <row r="1" spans="1:6" s="4" customFormat="1" ht="21" customHeight="1" thickBot="1">
      <c r="A1" s="3" t="s">
        <v>46</v>
      </c>
      <c r="B1" s="3" t="s">
        <v>3</v>
      </c>
      <c r="C1" s="5" t="s">
        <v>73</v>
      </c>
      <c r="D1" s="3" t="s">
        <v>74</v>
      </c>
      <c r="E1" s="3" t="s">
        <v>75</v>
      </c>
      <c r="F1" s="3" t="s">
        <v>133</v>
      </c>
    </row>
    <row r="2" spans="1:6" ht="16" thickTop="1">
      <c r="A2" s="1">
        <v>2013</v>
      </c>
      <c r="B2" s="1" t="s">
        <v>72</v>
      </c>
      <c r="C2" s="1">
        <f>SUMPRODUCT((ACHATS!$C$2:$C$64='COUT MOYEN'!B2)*ACHATS!$F$2:$F$64)</f>
        <v>1110</v>
      </c>
      <c r="D2" s="1">
        <f>SUMPRODUCT((ACHATS!$C$2:$C$64='COUT MOYEN'!B2)*ACHATS!$E$2:$E$64)</f>
        <v>30</v>
      </c>
      <c r="E2" s="61">
        <f t="shared" ref="E2:E41" si="0">C2/D2</f>
        <v>37</v>
      </c>
    </row>
    <row r="3" spans="1:6">
      <c r="A3" s="1">
        <v>2013</v>
      </c>
      <c r="B3" s="1" t="s">
        <v>20</v>
      </c>
      <c r="C3" s="1">
        <f>SUMPRODUCT((ACHATS!$C$2:$C$64='COUT MOYEN'!B3)*ACHATS!$F$2:$F$64)</f>
        <v>1860</v>
      </c>
      <c r="D3" s="1">
        <f>SUMPRODUCT((ACHATS!$C$2:$C$64='COUT MOYEN'!B3)*ACHATS!$E$2:$E$64)</f>
        <v>60</v>
      </c>
      <c r="E3" s="61">
        <f t="shared" si="0"/>
        <v>31</v>
      </c>
    </row>
    <row r="4" spans="1:6">
      <c r="A4" s="1">
        <v>2013</v>
      </c>
      <c r="B4" s="1" t="s">
        <v>18</v>
      </c>
      <c r="C4" s="1">
        <f>SUMPRODUCT((ACHATS!$C$2:$C$64='COUT MOYEN'!B4)*ACHATS!$F$2:$F$64)</f>
        <v>301.5</v>
      </c>
      <c r="D4" s="1">
        <f>SUMPRODUCT((ACHATS!$C$2:$C$64='COUT MOYEN'!B4)*ACHATS!$E$2:$E$64)</f>
        <v>450</v>
      </c>
      <c r="E4" s="61">
        <f t="shared" si="0"/>
        <v>0.67</v>
      </c>
    </row>
    <row r="5" spans="1:6">
      <c r="A5" s="1">
        <v>2013</v>
      </c>
      <c r="B5" s="1" t="s">
        <v>17</v>
      </c>
      <c r="C5" s="1">
        <f>SUMPRODUCT((ACHATS!$C$2:$C$64='COUT MOYEN'!B5)*ACHATS!$F$2:$F$64)</f>
        <v>825</v>
      </c>
      <c r="D5" s="1">
        <f>SUMPRODUCT((ACHATS!$C$2:$C$64='COUT MOYEN'!B5)*ACHATS!$E$2:$E$64)</f>
        <v>60</v>
      </c>
      <c r="E5" s="61">
        <f t="shared" si="0"/>
        <v>13.75</v>
      </c>
    </row>
    <row r="6" spans="1:6">
      <c r="A6" s="1">
        <v>2013</v>
      </c>
      <c r="B6" s="1" t="s">
        <v>36</v>
      </c>
      <c r="C6" s="1">
        <f>SUMPRODUCT((ACHATS!$C$2:$C$64='COUT MOYEN'!B6)*ACHATS!$F$2:$F$64)</f>
        <v>885</v>
      </c>
      <c r="D6" s="1">
        <f>SUMPRODUCT((ACHATS!$C$2:$C$64='COUT MOYEN'!B6)*ACHATS!$E$2:$E$64)</f>
        <v>15</v>
      </c>
      <c r="E6" s="61">
        <f t="shared" si="0"/>
        <v>59</v>
      </c>
    </row>
    <row r="7" spans="1:6">
      <c r="A7" s="1">
        <v>2013</v>
      </c>
      <c r="B7" s="1" t="s">
        <v>26</v>
      </c>
      <c r="C7" s="1">
        <f>SUMPRODUCT((ACHATS!$C$2:$C$64='COUT MOYEN'!B7)*ACHATS!$F$2:$F$64)</f>
        <v>99.6</v>
      </c>
      <c r="D7" s="1">
        <f>SUMPRODUCT((ACHATS!$C$2:$C$64='COUT MOYEN'!B7)*ACHATS!$E$2:$E$64)</f>
        <v>60</v>
      </c>
      <c r="E7" s="61">
        <f t="shared" si="0"/>
        <v>1.66</v>
      </c>
    </row>
    <row r="8" spans="1:6">
      <c r="A8" s="1">
        <v>2013</v>
      </c>
      <c r="B8" s="1" t="s">
        <v>87</v>
      </c>
      <c r="C8" s="1">
        <f>SUMPRODUCT((ACHATS!$C$2:$C$64='COUT MOYEN'!B8)*ACHATS!$F$2:$F$64)</f>
        <v>400</v>
      </c>
      <c r="D8" s="1">
        <f>SUMPRODUCT((ACHATS!$C$2:$C$64='COUT MOYEN'!B8)*ACHATS!$E$2:$E$64)</f>
        <v>20</v>
      </c>
      <c r="E8" s="61">
        <f t="shared" si="0"/>
        <v>20</v>
      </c>
    </row>
    <row r="9" spans="1:6">
      <c r="A9" s="1">
        <v>2013</v>
      </c>
      <c r="B9" s="1" t="s">
        <v>28</v>
      </c>
      <c r="C9" s="1">
        <f>SUMPRODUCT((ACHATS!$C$2:$C$64='COUT MOYEN'!B9)*ACHATS!$F$2:$F$64)</f>
        <v>290</v>
      </c>
      <c r="D9" s="1">
        <f>SUMPRODUCT((ACHATS!$C$2:$C$64='COUT MOYEN'!B9)*ACHATS!$E$2:$E$64)</f>
        <v>100</v>
      </c>
      <c r="E9" s="61">
        <f t="shared" si="0"/>
        <v>2.9</v>
      </c>
    </row>
    <row r="10" spans="1:6">
      <c r="A10" s="1">
        <v>2013</v>
      </c>
      <c r="B10" s="1" t="s">
        <v>39</v>
      </c>
      <c r="C10" s="1">
        <f>SUMPRODUCT((ACHATS!$C$2:$C$64='COUT MOYEN'!B10)*ACHATS!$F$2:$F$64)</f>
        <v>483</v>
      </c>
      <c r="D10" s="1">
        <f>SUMPRODUCT((ACHATS!$C$2:$C$64='COUT MOYEN'!B10)*ACHATS!$E$2:$E$64)</f>
        <v>600</v>
      </c>
      <c r="E10" s="61">
        <f t="shared" si="0"/>
        <v>0.80500000000000005</v>
      </c>
    </row>
    <row r="11" spans="1:6">
      <c r="A11" s="1">
        <v>2013</v>
      </c>
      <c r="B11" s="1" t="s">
        <v>83</v>
      </c>
      <c r="C11" s="1">
        <f>SUMPRODUCT((ACHATS!$C$2:$C$64='COUT MOYEN'!B11)*ACHATS!$F$2:$F$64)</f>
        <v>465</v>
      </c>
      <c r="D11" s="1">
        <f>SUMPRODUCT((ACHATS!$C$2:$C$64='COUT MOYEN'!B11)*ACHATS!$E$2:$E$64)</f>
        <v>15</v>
      </c>
      <c r="E11" s="61">
        <f t="shared" si="0"/>
        <v>31</v>
      </c>
    </row>
    <row r="12" spans="1:6">
      <c r="A12" s="1">
        <v>2013</v>
      </c>
      <c r="B12" s="1" t="s">
        <v>30</v>
      </c>
      <c r="C12" s="1">
        <f>SUMPRODUCT((ACHATS!$C$2:$C$64='COUT MOYEN'!B12)*ACHATS!$F$2:$F$64)</f>
        <v>1107</v>
      </c>
      <c r="D12" s="1">
        <f>SUMPRODUCT((ACHATS!$C$2:$C$64='COUT MOYEN'!B12)*ACHATS!$E$2:$E$64)</f>
        <v>90</v>
      </c>
      <c r="E12" s="61">
        <f t="shared" si="0"/>
        <v>12.3</v>
      </c>
    </row>
    <row r="13" spans="1:6">
      <c r="A13" s="1">
        <v>2013</v>
      </c>
      <c r="B13" s="1" t="s">
        <v>16</v>
      </c>
      <c r="C13" s="1">
        <f>SUMPRODUCT((ACHATS!$C$2:$C$64='COUT MOYEN'!B13)*ACHATS!$F$2:$F$64)</f>
        <v>2271.5500000000002</v>
      </c>
      <c r="D13" s="1">
        <f>SUMPRODUCT((ACHATS!$C$2:$C$64='COUT MOYEN'!B13)*ACHATS!$E$2:$E$64)</f>
        <v>460</v>
      </c>
      <c r="E13" s="61">
        <f t="shared" si="0"/>
        <v>4.9381521739130436</v>
      </c>
    </row>
    <row r="14" spans="1:6">
      <c r="A14" s="1">
        <v>2013</v>
      </c>
      <c r="B14" s="1" t="s">
        <v>22</v>
      </c>
      <c r="C14" s="1">
        <f>SUMPRODUCT((ACHATS!$C$2:$C$64='COUT MOYEN'!B14)*ACHATS!$F$2:$F$64)</f>
        <v>760</v>
      </c>
      <c r="D14" s="1">
        <f>SUMPRODUCT((ACHATS!$C$2:$C$64='COUT MOYEN'!B14)*ACHATS!$E$2:$E$64)</f>
        <v>960</v>
      </c>
      <c r="E14" s="61">
        <f t="shared" si="0"/>
        <v>0.79166666666666663</v>
      </c>
    </row>
    <row r="15" spans="1:6">
      <c r="A15" s="1">
        <v>2013</v>
      </c>
      <c r="B15" s="1" t="s">
        <v>21</v>
      </c>
      <c r="C15" s="1">
        <f>SUMPRODUCT((ACHATS!$C$2:$C$64='COUT MOYEN'!B15)*ACHATS!$F$2:$F$64)</f>
        <v>780</v>
      </c>
      <c r="D15" s="1">
        <f>SUMPRODUCT((ACHATS!$C$2:$C$64='COUT MOYEN'!B15)*ACHATS!$E$2:$E$64)</f>
        <v>3600</v>
      </c>
      <c r="E15" s="61">
        <f t="shared" si="0"/>
        <v>0.21666666666666667</v>
      </c>
    </row>
    <row r="16" spans="1:6">
      <c r="A16" s="1">
        <v>2013</v>
      </c>
      <c r="B16" s="1" t="s">
        <v>25</v>
      </c>
      <c r="C16" s="1">
        <f>SUMPRODUCT((ACHATS!$C$2:$C$64='COUT MOYEN'!B16)*ACHATS!$F$2:$F$64)</f>
        <v>1321.2</v>
      </c>
      <c r="D16" s="1">
        <f>SUMPRODUCT((ACHATS!$C$2:$C$64='COUT MOYEN'!B16)*ACHATS!$E$2:$E$64)</f>
        <v>120</v>
      </c>
      <c r="E16" s="61">
        <f t="shared" si="0"/>
        <v>11.01</v>
      </c>
    </row>
    <row r="17" spans="1:5">
      <c r="A17" s="1">
        <v>2013</v>
      </c>
      <c r="B17" s="1" t="s">
        <v>88</v>
      </c>
      <c r="C17" s="1">
        <f>SUMPRODUCT((ACHATS!$C$2:$C$64='COUT MOYEN'!B17)*ACHATS!$F$2:$F$64)</f>
        <v>2700</v>
      </c>
      <c r="D17" s="1">
        <f>SUMPRODUCT((ACHATS!$C$2:$C$64='COUT MOYEN'!B17)*ACHATS!$E$2:$E$64)</f>
        <v>50</v>
      </c>
      <c r="E17" s="61">
        <f t="shared" si="0"/>
        <v>54</v>
      </c>
    </row>
    <row r="18" spans="1:5">
      <c r="A18" s="1">
        <v>2013</v>
      </c>
      <c r="B18" s="1" t="s">
        <v>71</v>
      </c>
      <c r="C18" s="1">
        <f>SUMPRODUCT((ACHATS!$C$2:$C$64='COUT MOYEN'!B18)*ACHATS!$F$2:$F$64)</f>
        <v>533.25</v>
      </c>
      <c r="D18" s="1">
        <f>SUMPRODUCT((ACHATS!$C$2:$C$64='COUT MOYEN'!B18)*ACHATS!$E$2:$E$64)</f>
        <v>25</v>
      </c>
      <c r="E18" s="61">
        <f t="shared" si="0"/>
        <v>21.33</v>
      </c>
    </row>
    <row r="19" spans="1:5">
      <c r="A19" s="1">
        <v>2013</v>
      </c>
      <c r="B19" s="1" t="s">
        <v>44</v>
      </c>
      <c r="C19" s="1">
        <f>SUMPRODUCT((ACHATS!$C$2:$C$64='COUT MOYEN'!B19)*ACHATS!$F$2:$F$64)</f>
        <v>1325</v>
      </c>
      <c r="D19" s="1">
        <f>SUMPRODUCT((ACHATS!$C$2:$C$64='COUT MOYEN'!B19)*ACHATS!$E$2:$E$64)</f>
        <v>5100</v>
      </c>
      <c r="E19" s="61">
        <f t="shared" si="0"/>
        <v>0.25980392156862747</v>
      </c>
    </row>
    <row r="20" spans="1:5">
      <c r="A20" s="1">
        <v>2013</v>
      </c>
      <c r="B20" s="1" t="s">
        <v>41</v>
      </c>
      <c r="C20" s="1">
        <f>SUMPRODUCT((ACHATS!$C$2:$C$64='COUT MOYEN'!B20)*ACHATS!$F$2:$F$64)</f>
        <v>483</v>
      </c>
      <c r="D20" s="1">
        <f>SUMPRODUCT((ACHATS!$C$2:$C$64='COUT MOYEN'!B20)*ACHATS!$E$2:$E$64)</f>
        <v>600</v>
      </c>
      <c r="E20" s="61">
        <f t="shared" si="0"/>
        <v>0.80500000000000005</v>
      </c>
    </row>
    <row r="21" spans="1:5">
      <c r="A21" s="1">
        <v>2013</v>
      </c>
      <c r="B21" s="1" t="s">
        <v>33</v>
      </c>
      <c r="C21" s="1">
        <f>SUMPRODUCT((ACHATS!$C$2:$C$64='COUT MOYEN'!B21)*ACHATS!$F$2:$F$64)</f>
        <v>675</v>
      </c>
      <c r="D21" s="1">
        <f>SUMPRODUCT((ACHATS!$C$2:$C$64='COUT MOYEN'!B21)*ACHATS!$E$2:$E$64)</f>
        <v>75</v>
      </c>
      <c r="E21" s="61">
        <f t="shared" si="0"/>
        <v>9</v>
      </c>
    </row>
    <row r="22" spans="1:5">
      <c r="A22" s="1">
        <v>2013</v>
      </c>
      <c r="B22" s="1" t="s">
        <v>23</v>
      </c>
      <c r="C22" s="1">
        <f>SUMPRODUCT((ACHATS!$C$2:$C$64='COUT MOYEN'!B22)*ACHATS!$F$2:$F$64)</f>
        <v>2708.1</v>
      </c>
      <c r="D22" s="1">
        <f>SUMPRODUCT((ACHATS!$C$2:$C$64='COUT MOYEN'!B22)*ACHATS!$E$2:$E$64)</f>
        <v>135</v>
      </c>
      <c r="E22" s="61">
        <f t="shared" si="0"/>
        <v>20.059999999999999</v>
      </c>
    </row>
    <row r="23" spans="1:5">
      <c r="A23" s="1">
        <v>2013</v>
      </c>
      <c r="B23" s="1" t="s">
        <v>90</v>
      </c>
      <c r="C23" s="1">
        <f>SUMPRODUCT((ACHATS!$C$2:$C$64='COUT MOYEN'!B23)*ACHATS!$F$2:$F$64)</f>
        <v>2744</v>
      </c>
      <c r="D23" s="1">
        <f>SUMPRODUCT((ACHATS!$C$2:$C$64='COUT MOYEN'!B23)*ACHATS!$E$2:$E$64)</f>
        <v>80</v>
      </c>
      <c r="E23" s="61">
        <f t="shared" si="0"/>
        <v>34.299999999999997</v>
      </c>
    </row>
    <row r="24" spans="1:5">
      <c r="A24" s="1">
        <v>2013</v>
      </c>
      <c r="B24" s="1" t="s">
        <v>34</v>
      </c>
      <c r="C24" s="1">
        <f>SUMPRODUCT((ACHATS!$C$2:$C$64='COUT MOYEN'!B24)*ACHATS!$F$2:$F$64)</f>
        <v>1854.6</v>
      </c>
      <c r="D24" s="1">
        <f>SUMPRODUCT((ACHATS!$C$2:$C$64='COUT MOYEN'!B24)*ACHATS!$E$2:$E$64)</f>
        <v>60</v>
      </c>
      <c r="E24" s="61">
        <f t="shared" si="0"/>
        <v>30.91</v>
      </c>
    </row>
    <row r="25" spans="1:5">
      <c r="A25" s="1">
        <v>2013</v>
      </c>
      <c r="B25" s="1" t="s">
        <v>11</v>
      </c>
      <c r="C25" s="1">
        <f>SUMPRODUCT((ACHATS!$C$2:$C$64='COUT MOYEN'!B25)*ACHATS!$F$2:$F$64)</f>
        <v>15089.6</v>
      </c>
      <c r="D25" s="1">
        <f>SUMPRODUCT((ACHATS!$C$2:$C$64='COUT MOYEN'!B25)*ACHATS!$E$2:$E$64)</f>
        <v>30000</v>
      </c>
      <c r="E25" s="61">
        <f t="shared" si="0"/>
        <v>0.50298666666666669</v>
      </c>
    </row>
    <row r="26" spans="1:5">
      <c r="A26" s="1">
        <v>2013</v>
      </c>
      <c r="B26" s="1" t="s">
        <v>43</v>
      </c>
      <c r="C26" s="1">
        <f>SUMPRODUCT((ACHATS!$C$2:$C$64='COUT MOYEN'!B26)*ACHATS!$F$2:$F$64)</f>
        <v>1098</v>
      </c>
      <c r="D26" s="1">
        <f>SUMPRODUCT((ACHATS!$C$2:$C$64='COUT MOYEN'!B26)*ACHATS!$E$2:$E$64)</f>
        <v>4223</v>
      </c>
      <c r="E26" s="61">
        <f t="shared" si="0"/>
        <v>0.26000473596968982</v>
      </c>
    </row>
    <row r="27" spans="1:5">
      <c r="A27" s="1">
        <v>2013</v>
      </c>
      <c r="B27" s="1" t="s">
        <v>40</v>
      </c>
      <c r="C27" s="1">
        <f>SUMPRODUCT((ACHATS!$C$2:$C$64='COUT MOYEN'!B27)*ACHATS!$F$2:$F$64)</f>
        <v>483</v>
      </c>
      <c r="D27" s="1">
        <f>SUMPRODUCT((ACHATS!$C$2:$C$64='COUT MOYEN'!B27)*ACHATS!$E$2:$E$64)</f>
        <v>600</v>
      </c>
      <c r="E27" s="61">
        <f t="shared" si="0"/>
        <v>0.80500000000000005</v>
      </c>
    </row>
    <row r="28" spans="1:5">
      <c r="A28" s="1">
        <v>2013</v>
      </c>
      <c r="B28" s="1" t="s">
        <v>13</v>
      </c>
      <c r="C28" s="1">
        <f>SUMPRODUCT((ACHATS!$C$2:$C$64='COUT MOYEN'!B28)*ACHATS!$F$2:$F$64)</f>
        <v>3763.8</v>
      </c>
      <c r="D28" s="1">
        <f>SUMPRODUCT((ACHATS!$C$2:$C$64='COUT MOYEN'!B28)*ACHATS!$E$2:$E$64)</f>
        <v>10200</v>
      </c>
      <c r="E28" s="61">
        <f t="shared" si="0"/>
        <v>0.36899999999999999</v>
      </c>
    </row>
    <row r="29" spans="1:5">
      <c r="A29" s="1">
        <v>2013</v>
      </c>
      <c r="B29" s="1" t="s">
        <v>12</v>
      </c>
      <c r="C29" s="1">
        <f>SUMPRODUCT((ACHATS!$C$2:$C$64='COUT MOYEN'!B29)*ACHATS!$F$2:$F$64)</f>
        <v>2847</v>
      </c>
      <c r="D29" s="1">
        <f>SUMPRODUCT((ACHATS!$C$2:$C$64='COUT MOYEN'!B29)*ACHATS!$E$2:$E$64)</f>
        <v>13200</v>
      </c>
      <c r="E29" s="61">
        <f t="shared" si="0"/>
        <v>0.21568181818181817</v>
      </c>
    </row>
    <row r="30" spans="1:5">
      <c r="A30" s="1">
        <v>2013</v>
      </c>
      <c r="B30" s="1" t="s">
        <v>35</v>
      </c>
      <c r="C30" s="1">
        <f>SUMPRODUCT((ACHATS!$C$2:$C$64='COUT MOYEN'!B30)*ACHATS!$F$2:$F$64)</f>
        <v>1440</v>
      </c>
      <c r="D30" s="1">
        <f>SUMPRODUCT((ACHATS!$C$2:$C$64='COUT MOYEN'!B30)*ACHATS!$E$2:$E$64)</f>
        <v>100</v>
      </c>
      <c r="E30" s="61">
        <f t="shared" si="0"/>
        <v>14.4</v>
      </c>
    </row>
    <row r="31" spans="1:5">
      <c r="A31" s="1">
        <v>2013</v>
      </c>
      <c r="B31" s="1" t="s">
        <v>19</v>
      </c>
      <c r="C31" s="1">
        <f>SUMPRODUCT((ACHATS!$C$2:$C$64='COUT MOYEN'!B31)*ACHATS!$F$2:$F$64)</f>
        <v>401</v>
      </c>
      <c r="D31" s="1">
        <f>SUMPRODUCT((ACHATS!$C$2:$C$64='COUT MOYEN'!B31)*ACHATS!$E$2:$E$64)</f>
        <v>1200</v>
      </c>
      <c r="E31" s="61">
        <f t="shared" si="0"/>
        <v>0.33416666666666667</v>
      </c>
    </row>
    <row r="32" spans="1:5">
      <c r="A32" s="1">
        <v>2013</v>
      </c>
      <c r="B32" s="1" t="s">
        <v>84</v>
      </c>
      <c r="C32" s="1">
        <f>SUMPRODUCT((ACHATS!$C$2:$C$64='COUT MOYEN'!B32)*ACHATS!$F$2:$F$64)</f>
        <v>320</v>
      </c>
      <c r="D32" s="1">
        <f>SUMPRODUCT((ACHATS!$C$2:$C$64='COUT MOYEN'!B32)*ACHATS!$E$2:$E$64)</f>
        <v>1</v>
      </c>
      <c r="E32" s="61">
        <f t="shared" si="0"/>
        <v>320</v>
      </c>
    </row>
    <row r="33" spans="1:5">
      <c r="A33" s="1">
        <v>2013</v>
      </c>
      <c r="B33" s="1" t="s">
        <v>32</v>
      </c>
      <c r="C33" s="1">
        <f>SUMPRODUCT((ACHATS!$C$2:$C$64='COUT MOYEN'!B33)*ACHATS!$F$2:$F$64)</f>
        <v>595.04999999999995</v>
      </c>
      <c r="D33" s="1">
        <f>SUMPRODUCT((ACHATS!$C$2:$C$64='COUT MOYEN'!B33)*ACHATS!$E$2:$E$64)</f>
        <v>15</v>
      </c>
      <c r="E33" s="61">
        <f t="shared" si="0"/>
        <v>39.669999999999995</v>
      </c>
    </row>
    <row r="34" spans="1:5">
      <c r="A34" s="1">
        <v>2013</v>
      </c>
      <c r="B34" s="1" t="s">
        <v>29</v>
      </c>
      <c r="C34" s="1">
        <f>SUMPRODUCT((ACHATS!$C$2:$C$64='COUT MOYEN'!B34)*ACHATS!$F$2:$F$64)</f>
        <v>851</v>
      </c>
      <c r="D34" s="1">
        <f>SUMPRODUCT((ACHATS!$C$2:$C$64='COUT MOYEN'!B34)*ACHATS!$E$2:$E$64)</f>
        <v>230</v>
      </c>
      <c r="E34" s="61">
        <f t="shared" si="0"/>
        <v>3.7</v>
      </c>
    </row>
    <row r="35" spans="1:5">
      <c r="A35" s="1">
        <v>2013</v>
      </c>
      <c r="B35" s="1" t="s">
        <v>85</v>
      </c>
      <c r="C35" s="1">
        <f>SUMPRODUCT((ACHATS!$C$2:$C$64='COUT MOYEN'!B35)*ACHATS!$F$2:$F$64)</f>
        <v>639.6</v>
      </c>
      <c r="D35" s="1">
        <f>SUMPRODUCT((ACHATS!$C$2:$C$64='COUT MOYEN'!B35)*ACHATS!$E$2:$E$64)</f>
        <v>60</v>
      </c>
      <c r="E35" s="61">
        <f t="shared" si="0"/>
        <v>10.66</v>
      </c>
    </row>
    <row r="36" spans="1:5">
      <c r="A36" s="1">
        <v>2013</v>
      </c>
      <c r="B36" s="1" t="s">
        <v>27</v>
      </c>
      <c r="C36" s="1">
        <f>SUMPRODUCT((ACHATS!$C$2:$C$64='COUT MOYEN'!B36)*ACHATS!$F$2:$F$64)</f>
        <v>11.44</v>
      </c>
      <c r="D36" s="1">
        <f>SUMPRODUCT((ACHATS!$C$2:$C$64='COUT MOYEN'!B36)*ACHATS!$E$2:$E$64)</f>
        <v>13</v>
      </c>
      <c r="E36" s="61">
        <f t="shared" si="0"/>
        <v>0.88</v>
      </c>
    </row>
    <row r="37" spans="1:5">
      <c r="A37" s="1">
        <v>2013</v>
      </c>
      <c r="B37" s="1" t="s">
        <v>45</v>
      </c>
      <c r="C37" s="1">
        <f>SUMPRODUCT((ACHATS!$C$2:$C$64='COUT MOYEN'!B37)*ACHATS!$F$2:$F$64)</f>
        <v>442</v>
      </c>
      <c r="D37" s="1">
        <f>SUMPRODUCT((ACHATS!$C$2:$C$64='COUT MOYEN'!B37)*ACHATS!$E$2:$E$64)</f>
        <v>1700</v>
      </c>
      <c r="E37" s="61">
        <f t="shared" si="0"/>
        <v>0.26</v>
      </c>
    </row>
    <row r="38" spans="1:5">
      <c r="A38" s="1">
        <v>2013</v>
      </c>
      <c r="B38" s="1" t="s">
        <v>42</v>
      </c>
      <c r="C38" s="1">
        <f>SUMPRODUCT((ACHATS!$C$2:$C$64='COUT MOYEN'!B38)*ACHATS!$F$2:$F$64)</f>
        <v>483</v>
      </c>
      <c r="D38" s="1">
        <f>SUMPRODUCT((ACHATS!$C$2:$C$64='COUT MOYEN'!B38)*ACHATS!$E$2:$E$64)</f>
        <v>600</v>
      </c>
      <c r="E38" s="61">
        <f t="shared" si="0"/>
        <v>0.80500000000000005</v>
      </c>
    </row>
    <row r="39" spans="1:5">
      <c r="A39" s="1">
        <v>2013</v>
      </c>
      <c r="B39" s="1" t="s">
        <v>38</v>
      </c>
      <c r="C39" s="1">
        <f>SUMPRODUCT((ACHATS!$C$2:$C$64='COUT MOYEN'!B39)*ACHATS!$F$2:$F$64)</f>
        <v>1942.95</v>
      </c>
      <c r="D39" s="1">
        <f>SUMPRODUCT((ACHATS!$C$2:$C$64='COUT MOYEN'!B39)*ACHATS!$E$2:$E$64)</f>
        <v>2700</v>
      </c>
      <c r="E39" s="61">
        <f t="shared" si="0"/>
        <v>0.71961111111111109</v>
      </c>
    </row>
    <row r="40" spans="1:5">
      <c r="A40" s="1">
        <v>2013</v>
      </c>
      <c r="B40" s="1" t="s">
        <v>9</v>
      </c>
      <c r="C40" s="1">
        <f>SUMPRODUCT((ACHATS!$C$2:$C$64='COUT MOYEN'!B40)*ACHATS!$F$2:$F$64)</f>
        <v>2310</v>
      </c>
      <c r="D40" s="1">
        <f>SUMPRODUCT((ACHATS!$C$2:$C$64='COUT MOYEN'!B40)*ACHATS!$E$2:$E$64)</f>
        <v>10500</v>
      </c>
      <c r="E40" s="61">
        <f t="shared" si="0"/>
        <v>0.22</v>
      </c>
    </row>
    <row r="41" spans="1:5">
      <c r="A41" s="1">
        <v>2013</v>
      </c>
      <c r="B41" s="1" t="s">
        <v>14</v>
      </c>
      <c r="C41" s="1">
        <f>SUMPRODUCT((ACHATS!$C$2:$C$64='COUT MOYEN'!B41)*ACHATS!$F$2:$F$64)</f>
        <v>20523</v>
      </c>
      <c r="D41" s="1">
        <f>SUMPRODUCT((ACHATS!$C$2:$C$64='COUT MOYEN'!B41)*ACHATS!$E$2:$E$64)</f>
        <v>49000</v>
      </c>
      <c r="E41" s="61">
        <f t="shared" si="0"/>
        <v>0.41883673469387755</v>
      </c>
    </row>
    <row r="42" spans="1:5">
      <c r="A42" s="1">
        <v>2013</v>
      </c>
      <c r="B42" s="1" t="s">
        <v>129</v>
      </c>
      <c r="C42" s="1">
        <f>SUMPRODUCT((ACHATS!$C$2:$C$64='COUT MOYEN'!B42)*ACHATS!$F$2:$F$64)</f>
        <v>1260</v>
      </c>
      <c r="D42" s="1">
        <f>SUMPRODUCT((ACHATS!$C$2:$C$64='COUT MOYEN'!B42)*ACHATS!$E$2:$E$64)</f>
        <v>12</v>
      </c>
      <c r="E42" s="61">
        <f t="shared" ref="E42:E49" si="1">C42/D42</f>
        <v>105</v>
      </c>
    </row>
    <row r="43" spans="1:5">
      <c r="A43" s="1">
        <v>2013</v>
      </c>
      <c r="B43" s="1" t="s">
        <v>127</v>
      </c>
      <c r="C43" s="1">
        <f>SUMPRODUCT((ACHATS!$C$2:$C$64='COUT MOYEN'!B43)*ACHATS!$F$2:$F$64)</f>
        <v>264.56</v>
      </c>
      <c r="D43" s="1">
        <f>SUMPRODUCT((ACHATS!$C$2:$C$64='COUT MOYEN'!B43)*ACHATS!$E$2:$E$64)</f>
        <v>8</v>
      </c>
      <c r="E43" s="61">
        <f t="shared" si="1"/>
        <v>33.07</v>
      </c>
    </row>
    <row r="44" spans="1:5">
      <c r="A44" s="1">
        <v>2013</v>
      </c>
      <c r="B44" s="1" t="s">
        <v>128</v>
      </c>
      <c r="C44" s="1">
        <f>SUMPRODUCT((ACHATS!$C$2:$C$64='COUT MOYEN'!B44)*ACHATS!$F$2:$F$64)</f>
        <v>1</v>
      </c>
      <c r="D44" s="1">
        <f>SUMPRODUCT((ACHATS!$C$2:$C$64='COUT MOYEN'!B44)*ACHATS!$E$2:$E$64)</f>
        <v>1</v>
      </c>
      <c r="E44" s="61">
        <f t="shared" si="1"/>
        <v>1</v>
      </c>
    </row>
    <row r="45" spans="1:5">
      <c r="A45" s="16">
        <v>2013</v>
      </c>
      <c r="B45" s="16" t="s">
        <v>136</v>
      </c>
      <c r="C45" s="16">
        <v>1</v>
      </c>
      <c r="D45" s="16">
        <v>1</v>
      </c>
      <c r="E45" s="103">
        <v>1</v>
      </c>
    </row>
    <row r="46" spans="1:5">
      <c r="A46" s="1">
        <v>2013</v>
      </c>
      <c r="B46" s="1" t="s">
        <v>126</v>
      </c>
      <c r="C46" s="1">
        <f>SUMPRODUCT((ACHATS!$C$2:$C$64='COUT MOYEN'!B46)*ACHATS!$F$2:$F$64)</f>
        <v>2640</v>
      </c>
      <c r="D46" s="1">
        <f>SUMPRODUCT((ACHATS!$C$2:$C$64='COUT MOYEN'!B46)*ACHATS!$E$2:$E$64)</f>
        <v>15</v>
      </c>
      <c r="E46" s="61">
        <f t="shared" si="1"/>
        <v>176</v>
      </c>
    </row>
    <row r="47" spans="1:5">
      <c r="A47" s="1">
        <v>2013</v>
      </c>
      <c r="B47" s="1" t="s">
        <v>125</v>
      </c>
      <c r="C47" s="1">
        <f>SUMPRODUCT((ACHATS!$C$2:$C$64='COUT MOYEN'!B47)*ACHATS!$F$2:$F$64)</f>
        <v>1692</v>
      </c>
      <c r="D47" s="1">
        <f>SUMPRODUCT((ACHATS!$C$2:$C$64='COUT MOYEN'!B47)*ACHATS!$E$2:$E$64)</f>
        <v>9</v>
      </c>
      <c r="E47" s="61">
        <f t="shared" si="1"/>
        <v>188</v>
      </c>
    </row>
    <row r="48" spans="1:5">
      <c r="A48" s="1">
        <v>2013</v>
      </c>
      <c r="B48" s="1" t="s">
        <v>130</v>
      </c>
      <c r="C48" s="1">
        <f>SUMPRODUCT((ACHATS!$C$2:$C$64='COUT MOYEN'!B48)*ACHATS!$F$2:$F$64)</f>
        <v>120</v>
      </c>
      <c r="D48" s="1">
        <f>SUMPRODUCT((ACHATS!$C$2:$C$64='COUT MOYEN'!B48)*ACHATS!$E$2:$E$64)</f>
        <v>140</v>
      </c>
      <c r="E48" s="61">
        <f t="shared" si="1"/>
        <v>0.8571428571428571</v>
      </c>
    </row>
    <row r="49" spans="1:5">
      <c r="A49" s="1">
        <v>2013</v>
      </c>
      <c r="B49" s="1" t="s">
        <v>131</v>
      </c>
      <c r="C49" s="1">
        <f>SUMPRODUCT((ACHATS!$C$2:$C$64='COUT MOYEN'!B49)*ACHATS!$F$2:$F$64)</f>
        <v>2485.77</v>
      </c>
      <c r="D49" s="1">
        <f>SUMPRODUCT((ACHATS!$C$2:$C$64='COUT MOYEN'!B49)*ACHATS!$E$2:$E$64)</f>
        <v>10</v>
      </c>
      <c r="E49" s="61">
        <f t="shared" si="1"/>
        <v>248.577</v>
      </c>
    </row>
    <row r="50" spans="1:5">
      <c r="A50" s="16">
        <v>2013</v>
      </c>
      <c r="B50" s="16" t="s">
        <v>132</v>
      </c>
      <c r="C50" s="16">
        <f>SUMPRODUCT((ACHATS!$C$2:$C$64='COUT MOYEN'!B50)*ACHATS!$F$2:$F$64)</f>
        <v>1</v>
      </c>
      <c r="D50" s="16">
        <f>SUMPRODUCT((ACHATS!$C$2:$C$64='COUT MOYEN'!B50)*ACHATS!$E$2:$E$64)</f>
        <v>1</v>
      </c>
      <c r="E50" s="103">
        <f t="shared" ref="E50" si="2">C50/D50</f>
        <v>1</v>
      </c>
    </row>
    <row r="51" spans="1:5">
      <c r="A51" s="16">
        <v>2013</v>
      </c>
      <c r="B51" s="16" t="s">
        <v>124</v>
      </c>
      <c r="C51" s="16">
        <f>SUMPRODUCT((ACHATS!$C$2:$C$64='COUT MOYEN'!B51)*ACHATS!$F$2:$F$64)</f>
        <v>1</v>
      </c>
      <c r="D51" s="16">
        <f>SUMPRODUCT((ACHATS!$C$2:$C$64='COUT MOYEN'!B51)*ACHATS!$E$2:$E$64)</f>
        <v>1</v>
      </c>
      <c r="E51" s="103">
        <f t="shared" ref="E51:E53" si="3">C51/D51</f>
        <v>1</v>
      </c>
    </row>
    <row r="52" spans="1:5">
      <c r="A52" s="16">
        <v>2013</v>
      </c>
      <c r="B52" s="16" t="s">
        <v>123</v>
      </c>
      <c r="C52" s="16">
        <f>SUMPRODUCT((ACHATS!$C$2:$C$64='COUT MOYEN'!B52)*ACHATS!$F$2:$F$64)</f>
        <v>1</v>
      </c>
      <c r="D52" s="16">
        <f>SUMPRODUCT((ACHATS!$C$2:$C$64='COUT MOYEN'!B52)*ACHATS!$E$2:$E$64)</f>
        <v>1</v>
      </c>
      <c r="E52" s="103">
        <f t="shared" si="3"/>
        <v>1</v>
      </c>
    </row>
    <row r="53" spans="1:5">
      <c r="A53" s="1">
        <v>2013</v>
      </c>
      <c r="B53" s="1" t="s">
        <v>137</v>
      </c>
      <c r="C53" s="1">
        <f>SUMPRODUCT((ACHATS!$C$2:$C$64='COUT MOYEN'!B53)*ACHATS!$F$2:$F$64)</f>
        <v>408</v>
      </c>
      <c r="D53" s="1">
        <f>SUMPRODUCT((ACHATS!$C$2:$C$64='COUT MOYEN'!B53)*ACHATS!$E$2:$E$64)</f>
        <v>80</v>
      </c>
      <c r="E53" s="61">
        <f t="shared" si="3"/>
        <v>5.0999999999999996</v>
      </c>
    </row>
    <row r="54" spans="1:5">
      <c r="A54" s="16">
        <v>2013</v>
      </c>
      <c r="B54" s="16" t="s">
        <v>134</v>
      </c>
      <c r="C54" s="16">
        <v>1</v>
      </c>
      <c r="D54" s="16">
        <v>1</v>
      </c>
      <c r="E54" s="103">
        <v>1</v>
      </c>
    </row>
    <row r="55" spans="1:5">
      <c r="A55" s="16">
        <v>2013</v>
      </c>
      <c r="B55" s="16" t="s">
        <v>184</v>
      </c>
      <c r="C55" s="16">
        <v>1</v>
      </c>
      <c r="D55" s="16">
        <v>1</v>
      </c>
      <c r="E55" s="103">
        <v>1</v>
      </c>
    </row>
    <row r="56" spans="1:5">
      <c r="A56" s="16">
        <v>2013</v>
      </c>
      <c r="B56" s="16" t="s">
        <v>177</v>
      </c>
      <c r="C56" s="16">
        <v>1</v>
      </c>
      <c r="D56" s="16">
        <v>1</v>
      </c>
      <c r="E56" s="103">
        <v>1</v>
      </c>
    </row>
    <row r="57" spans="1:5">
      <c r="A57" s="16">
        <v>2013</v>
      </c>
      <c r="B57" s="16" t="s">
        <v>194</v>
      </c>
      <c r="C57" s="16">
        <v>1</v>
      </c>
      <c r="D57" s="16">
        <v>1</v>
      </c>
      <c r="E57" s="103">
        <v>1</v>
      </c>
    </row>
    <row r="58" spans="1:5">
      <c r="A58" s="16">
        <v>2013</v>
      </c>
      <c r="B58" s="16" t="s">
        <v>178</v>
      </c>
      <c r="C58" s="16">
        <v>1</v>
      </c>
      <c r="D58" s="16">
        <v>1</v>
      </c>
      <c r="E58" s="103">
        <v>1</v>
      </c>
    </row>
    <row r="59" spans="1:5">
      <c r="A59" s="16">
        <v>2013</v>
      </c>
      <c r="B59" s="16" t="s">
        <v>179</v>
      </c>
      <c r="C59" s="16">
        <v>1</v>
      </c>
      <c r="D59" s="16">
        <v>1</v>
      </c>
      <c r="E59" s="103">
        <v>1</v>
      </c>
    </row>
    <row r="60" spans="1:5">
      <c r="A60" s="16">
        <v>2013</v>
      </c>
      <c r="B60" s="16" t="s">
        <v>180</v>
      </c>
      <c r="C60" s="16">
        <v>1</v>
      </c>
      <c r="D60" s="16">
        <v>1</v>
      </c>
      <c r="E60" s="103">
        <v>1</v>
      </c>
    </row>
    <row r="61" spans="1:5">
      <c r="A61" s="16">
        <v>2013</v>
      </c>
      <c r="B61" s="16" t="s">
        <v>181</v>
      </c>
      <c r="C61" s="16">
        <v>1</v>
      </c>
      <c r="D61" s="16">
        <v>1</v>
      </c>
      <c r="E61" s="103">
        <v>1</v>
      </c>
    </row>
    <row r="62" spans="1:5">
      <c r="A62" s="16">
        <v>2013</v>
      </c>
      <c r="B62" s="16" t="s">
        <v>182</v>
      </c>
      <c r="C62" s="16">
        <v>1</v>
      </c>
      <c r="D62" s="16">
        <v>1</v>
      </c>
      <c r="E62" s="103">
        <v>1</v>
      </c>
    </row>
    <row r="63" spans="1:5">
      <c r="A63" s="16">
        <v>2013</v>
      </c>
      <c r="B63" s="16" t="s">
        <v>183</v>
      </c>
      <c r="C63" s="16">
        <v>1</v>
      </c>
      <c r="D63" s="16">
        <v>1</v>
      </c>
      <c r="E63" s="103">
        <v>1</v>
      </c>
    </row>
    <row r="64" spans="1:5">
      <c r="A64" s="16">
        <v>2013</v>
      </c>
      <c r="B64" s="16" t="s">
        <v>193</v>
      </c>
      <c r="C64" s="16">
        <v>1</v>
      </c>
      <c r="D64" s="16">
        <v>1</v>
      </c>
      <c r="E64" s="103">
        <v>1</v>
      </c>
    </row>
    <row r="65" spans="1:5">
      <c r="A65" s="16">
        <v>2013</v>
      </c>
      <c r="B65" s="16" t="s">
        <v>195</v>
      </c>
      <c r="C65" s="16">
        <v>1</v>
      </c>
      <c r="D65" s="16">
        <v>1</v>
      </c>
      <c r="E65" s="103">
        <v>1</v>
      </c>
    </row>
    <row r="66" spans="1:5">
      <c r="A66" s="16">
        <v>2013</v>
      </c>
      <c r="B66" s="16" t="s">
        <v>189</v>
      </c>
      <c r="C66" s="16">
        <v>1</v>
      </c>
      <c r="D66" s="16">
        <v>1</v>
      </c>
      <c r="E66" s="103">
        <v>1</v>
      </c>
    </row>
    <row r="67" spans="1:5">
      <c r="A67" s="16">
        <v>2013</v>
      </c>
      <c r="B67" s="173" t="s">
        <v>186</v>
      </c>
      <c r="C67" s="16">
        <v>1</v>
      </c>
      <c r="D67" s="16">
        <v>1</v>
      </c>
      <c r="E67" s="103">
        <v>1</v>
      </c>
    </row>
  </sheetData>
  <autoFilter ref="B1:E1">
    <sortState ref="B2:E41">
      <sortCondition ref="B1:B41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:I6"/>
  <sheetViews>
    <sheetView showGridLines="0" workbookViewId="0">
      <selection activeCell="A7" sqref="A7"/>
    </sheetView>
  </sheetViews>
  <sheetFormatPr baseColWidth="10" defaultRowHeight="15" x14ac:dyDescent="0"/>
  <cols>
    <col min="1" max="8" width="18.1640625" customWidth="1"/>
    <col min="9" max="10" width="17.83203125" bestFit="1" customWidth="1"/>
  </cols>
  <sheetData>
    <row r="1" spans="1:9" ht="50" customHeight="1">
      <c r="A1" s="13" t="s">
        <v>77</v>
      </c>
      <c r="B1" s="13" t="s">
        <v>78</v>
      </c>
      <c r="C1" s="13" t="s">
        <v>76</v>
      </c>
      <c r="D1" s="13" t="s">
        <v>79</v>
      </c>
      <c r="E1" s="13" t="s">
        <v>81</v>
      </c>
      <c r="F1" s="13" t="s">
        <v>82</v>
      </c>
      <c r="G1" s="13" t="s">
        <v>80</v>
      </c>
      <c r="H1" s="13" t="s">
        <v>53</v>
      </c>
      <c r="I1" s="15"/>
    </row>
    <row r="2" spans="1:9" ht="50" customHeight="1">
      <c r="A2" s="12" t="s">
        <v>58</v>
      </c>
      <c r="B2" s="12" t="s">
        <v>59</v>
      </c>
      <c r="C2" s="12" t="s">
        <v>52</v>
      </c>
      <c r="D2" s="12" t="s">
        <v>140</v>
      </c>
      <c r="E2" s="12" t="s">
        <v>141</v>
      </c>
      <c r="F2" s="12" t="s">
        <v>54</v>
      </c>
      <c r="G2" s="12" t="s">
        <v>54</v>
      </c>
      <c r="H2" s="12" t="s">
        <v>54</v>
      </c>
      <c r="I2" s="14"/>
    </row>
    <row r="3" spans="1:9" ht="50" customHeight="1">
      <c r="A3" s="12" t="s">
        <v>138</v>
      </c>
      <c r="B3" s="12" t="s">
        <v>56</v>
      </c>
      <c r="C3" s="12" t="s">
        <v>50</v>
      </c>
      <c r="D3" s="12" t="s">
        <v>54</v>
      </c>
      <c r="E3" s="12" t="s">
        <v>54</v>
      </c>
      <c r="F3" s="12" t="s">
        <v>54</v>
      </c>
      <c r="G3" s="12" t="s">
        <v>54</v>
      </c>
      <c r="H3" s="12" t="s">
        <v>54</v>
      </c>
      <c r="I3" s="14"/>
    </row>
    <row r="4" spans="1:9" ht="50" customHeight="1">
      <c r="A4" s="12" t="s">
        <v>139</v>
      </c>
      <c r="B4" s="12" t="s">
        <v>60</v>
      </c>
      <c r="C4" s="12" t="s">
        <v>57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  <c r="I4" s="14"/>
    </row>
    <row r="5" spans="1:9" ht="50" customHeight="1">
      <c r="A5" s="12" t="s">
        <v>190</v>
      </c>
      <c r="B5" s="12" t="s">
        <v>51</v>
      </c>
      <c r="C5" s="12" t="s">
        <v>54</v>
      </c>
      <c r="D5" s="12" t="s">
        <v>54</v>
      </c>
      <c r="E5" s="12" t="s">
        <v>54</v>
      </c>
      <c r="F5" s="12" t="s">
        <v>54</v>
      </c>
      <c r="G5" s="12" t="s">
        <v>54</v>
      </c>
      <c r="H5" s="12" t="s">
        <v>54</v>
      </c>
      <c r="I5" s="14"/>
    </row>
    <row r="6" spans="1:9" ht="50" customHeight="1">
      <c r="A6" s="12" t="s">
        <v>191</v>
      </c>
      <c r="B6" s="12" t="s">
        <v>55</v>
      </c>
      <c r="C6" s="12" t="s">
        <v>54</v>
      </c>
      <c r="D6" s="12" t="s">
        <v>54</v>
      </c>
      <c r="E6" s="12" t="s">
        <v>54</v>
      </c>
      <c r="F6" s="12" t="s">
        <v>54</v>
      </c>
      <c r="G6" s="12" t="s">
        <v>54</v>
      </c>
      <c r="H6" s="12" t="s">
        <v>54</v>
      </c>
      <c r="I6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B30"/>
  <sheetViews>
    <sheetView workbookViewId="0">
      <selection activeCell="B7" sqref="B7"/>
    </sheetView>
  </sheetViews>
  <sheetFormatPr baseColWidth="10" defaultRowHeight="15" x14ac:dyDescent="0"/>
  <cols>
    <col min="1" max="2" width="17.83203125" bestFit="1" customWidth="1"/>
    <col min="3" max="3" width="15.5" customWidth="1"/>
  </cols>
  <sheetData>
    <row r="1" spans="1:2">
      <c r="A1" s="35">
        <v>2013</v>
      </c>
      <c r="B1" s="35">
        <v>2014</v>
      </c>
    </row>
    <row r="2" spans="1:2">
      <c r="A2" s="20" t="s">
        <v>143</v>
      </c>
      <c r="B2" s="20" t="s">
        <v>143</v>
      </c>
    </row>
    <row r="3" spans="1:2">
      <c r="A3" s="20" t="s">
        <v>144</v>
      </c>
      <c r="B3" s="20" t="s">
        <v>144</v>
      </c>
    </row>
    <row r="4" spans="1:2">
      <c r="A4" s="20" t="s">
        <v>145</v>
      </c>
      <c r="B4" s="20" t="s">
        <v>175</v>
      </c>
    </row>
    <row r="5" spans="1:2">
      <c r="A5" s="20" t="s">
        <v>146</v>
      </c>
      <c r="B5" s="20" t="s">
        <v>146</v>
      </c>
    </row>
    <row r="6" spans="1:2">
      <c r="A6" s="20" t="s">
        <v>147</v>
      </c>
      <c r="B6" s="20" t="s">
        <v>147</v>
      </c>
    </row>
    <row r="7" spans="1:2">
      <c r="A7" s="20" t="s">
        <v>148</v>
      </c>
      <c r="B7" s="20" t="s">
        <v>174</v>
      </c>
    </row>
    <row r="8" spans="1:2">
      <c r="A8" s="20" t="s">
        <v>149</v>
      </c>
      <c r="B8" s="20" t="s">
        <v>149</v>
      </c>
    </row>
    <row r="9" spans="1:2">
      <c r="A9" s="20" t="s">
        <v>150</v>
      </c>
      <c r="B9" s="134" t="s">
        <v>173</v>
      </c>
    </row>
    <row r="10" spans="1:2">
      <c r="A10" s="20" t="s">
        <v>151</v>
      </c>
      <c r="B10" s="20" t="s">
        <v>151</v>
      </c>
    </row>
    <row r="11" spans="1:2">
      <c r="A11" s="20" t="s">
        <v>152</v>
      </c>
      <c r="B11" s="20" t="s">
        <v>152</v>
      </c>
    </row>
    <row r="12" spans="1:2">
      <c r="A12" s="20" t="s">
        <v>153</v>
      </c>
      <c r="B12" s="20" t="s">
        <v>153</v>
      </c>
    </row>
    <row r="13" spans="1:2">
      <c r="A13" s="20" t="s">
        <v>154</v>
      </c>
      <c r="B13" s="20" t="s">
        <v>154</v>
      </c>
    </row>
    <row r="14" spans="1:2">
      <c r="A14" s="20" t="s">
        <v>155</v>
      </c>
      <c r="B14" s="20" t="s">
        <v>155</v>
      </c>
    </row>
    <row r="15" spans="1:2">
      <c r="A15" s="20" t="s">
        <v>156</v>
      </c>
      <c r="B15" s="20" t="s">
        <v>156</v>
      </c>
    </row>
    <row r="16" spans="1:2">
      <c r="A16" s="12" t="s">
        <v>157</v>
      </c>
      <c r="B16" s="12" t="s">
        <v>157</v>
      </c>
    </row>
    <row r="17" spans="1:2">
      <c r="A17" s="20" t="s">
        <v>158</v>
      </c>
      <c r="B17" s="20" t="s">
        <v>158</v>
      </c>
    </row>
    <row r="18" spans="1:2">
      <c r="A18" s="20" t="s">
        <v>159</v>
      </c>
      <c r="B18" s="20" t="s">
        <v>176</v>
      </c>
    </row>
    <row r="19" spans="1:2">
      <c r="A19" s="20" t="s">
        <v>160</v>
      </c>
      <c r="B19" s="20" t="s">
        <v>160</v>
      </c>
    </row>
    <row r="20" spans="1:2">
      <c r="A20" s="20" t="s">
        <v>161</v>
      </c>
      <c r="B20" s="20" t="s">
        <v>161</v>
      </c>
    </row>
    <row r="21" spans="1:2">
      <c r="A21" s="20" t="s">
        <v>162</v>
      </c>
      <c r="B21" s="20" t="s">
        <v>162</v>
      </c>
    </row>
    <row r="22" spans="1:2">
      <c r="A22" s="20" t="s">
        <v>163</v>
      </c>
      <c r="B22" s="20" t="s">
        <v>172</v>
      </c>
    </row>
    <row r="23" spans="1:2">
      <c r="A23" s="20" t="s">
        <v>164</v>
      </c>
      <c r="B23" s="20" t="s">
        <v>164</v>
      </c>
    </row>
    <row r="24" spans="1:2">
      <c r="A24" s="20" t="s">
        <v>165</v>
      </c>
      <c r="B24" s="20" t="s">
        <v>165</v>
      </c>
    </row>
    <row r="25" spans="1:2">
      <c r="A25" s="20" t="s">
        <v>166</v>
      </c>
      <c r="B25" s="20" t="s">
        <v>166</v>
      </c>
    </row>
    <row r="26" spans="1:2">
      <c r="A26" s="20" t="s">
        <v>167</v>
      </c>
      <c r="B26" s="20" t="s">
        <v>171</v>
      </c>
    </row>
    <row r="27" spans="1:2">
      <c r="A27" s="20" t="s">
        <v>168</v>
      </c>
      <c r="B27" s="20" t="s">
        <v>168</v>
      </c>
    </row>
    <row r="28" spans="1:2">
      <c r="A28" s="20" t="s">
        <v>169</v>
      </c>
      <c r="B28" s="20" t="s">
        <v>169</v>
      </c>
    </row>
    <row r="29" spans="1:2" ht="16" thickBot="1">
      <c r="A29" s="97" t="s">
        <v>170</v>
      </c>
      <c r="B29" s="97" t="s">
        <v>170</v>
      </c>
    </row>
    <row r="30" spans="1:2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FOCUS CULTURE</vt:lpstr>
      <vt:lpstr>FOCUS C</vt:lpstr>
      <vt:lpstr>FOCUS PARCELLE</vt:lpstr>
      <vt:lpstr>UTILISATIONS</vt:lpstr>
      <vt:lpstr>PARCELLAIRE</vt:lpstr>
      <vt:lpstr>ACHATS</vt:lpstr>
      <vt:lpstr>COUT MOYEN</vt:lpstr>
      <vt:lpstr>VARIETE</vt:lpstr>
      <vt:lpstr>ANNEE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2013-04-23T08:43:29Z</dcterms:created>
  <dcterms:modified xsi:type="dcterms:W3CDTF">2013-09-04T18:35:26Z</dcterms:modified>
</cp:coreProperties>
</file>