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BDEL\Desktop\Projet Fin Année\1.Projet\"/>
    </mc:Choice>
  </mc:AlternateContent>
  <bookViews>
    <workbookView xWindow="0" yWindow="0" windowWidth="24000" windowHeight="9735"/>
  </bookViews>
  <sheets>
    <sheet name="Colonnes montantes" sheetId="5" r:id="rId1"/>
    <sheet name="Branches Terminales" sheetId="4" r:id="rId2"/>
    <sheet name="Plomberie" sheetId="7" r:id="rId3"/>
    <sheet name="Données" sheetId="6" r:id="rId4"/>
  </sheets>
  <definedNames>
    <definedName name="_xlnm._FilterDatabase" localSheetId="0" hidden="1">'Colonnes montantes'!#REF!</definedName>
    <definedName name="AlimApp">#REF!</definedName>
    <definedName name="AlimentationsAppareils">Données!$B$3:$B$18</definedName>
    <definedName name="AlimentationsMatières">Données!$G$3:$G$10</definedName>
    <definedName name="AlimMat">#REF!</definedName>
    <definedName name="EvacApp">#REF!</definedName>
    <definedName name="EvacMat">#REF!</definedName>
    <definedName name="EvacuationsAppareils">Données!$D$3:$D$17</definedName>
    <definedName name="EvacuationsMatières">Données!$H$3:$H$6</definedName>
    <definedName name="solver_adj" localSheetId="0" hidden="1">'Colonnes montantes'!#REF!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in" localSheetId="0" hidden="1">2</definedName>
    <definedName name="solver_neg" localSheetId="0" hidden="1">2</definedName>
    <definedName name="solver_num" localSheetId="0" hidden="1">0</definedName>
    <definedName name="solver_nwt" localSheetId="0" hidden="1">1</definedName>
    <definedName name="solver_opt" localSheetId="0" hidden="1">'Colonnes montantes'!#REF!</definedName>
    <definedName name="solver_pre" localSheetId="0" hidden="1">0.000001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0</definedName>
    <definedName name="Typ">#REF!</definedName>
    <definedName name="Type">Données!$A$3:$A$4</definedName>
    <definedName name="V">#REF!</definedName>
    <definedName name="Vitesses">Données!$J$3:$J$6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1" i="5" l="1"/>
  <c r="J9" i="5"/>
  <c r="I12" i="5"/>
  <c r="I11" i="5"/>
  <c r="H11" i="5" l="1"/>
  <c r="G12" i="5"/>
  <c r="G11" i="5"/>
  <c r="F11" i="5"/>
  <c r="E11" i="5"/>
  <c r="D11" i="5"/>
  <c r="C11" i="5"/>
  <c r="M12" i="5"/>
  <c r="N12" i="5"/>
  <c r="P12" i="5"/>
  <c r="P11" i="5"/>
  <c r="N11" i="5"/>
  <c r="M11" i="5"/>
  <c r="P9" i="5"/>
  <c r="C23" i="4"/>
  <c r="O14" i="6" l="1"/>
  <c r="O13" i="6"/>
  <c r="O12" i="6"/>
  <c r="O11" i="6"/>
  <c r="O10" i="6"/>
  <c r="O9" i="6"/>
  <c r="O8" i="6"/>
  <c r="O7" i="6"/>
  <c r="D9" i="5" l="1"/>
  <c r="E34" i="4" l="1"/>
  <c r="E36" i="4"/>
  <c r="E37" i="4"/>
  <c r="E38" i="4"/>
  <c r="E39" i="4"/>
  <c r="E40" i="4"/>
  <c r="E35" i="4"/>
  <c r="E29" i="4"/>
  <c r="E30" i="4"/>
  <c r="E31" i="4"/>
  <c r="E32" i="4"/>
  <c r="E33" i="4"/>
  <c r="E28" i="4"/>
  <c r="F29" i="4"/>
  <c r="F30" i="4"/>
  <c r="F31" i="4"/>
  <c r="F32" i="4"/>
  <c r="F33" i="4"/>
  <c r="F35" i="4"/>
  <c r="F36" i="4"/>
  <c r="F37" i="4"/>
  <c r="F38" i="4"/>
  <c r="F39" i="4"/>
  <c r="F40" i="4"/>
  <c r="F28" i="4"/>
  <c r="E41" i="4" l="1"/>
  <c r="G41" i="4" s="1"/>
  <c r="E9" i="5" s="1"/>
  <c r="F34" i="4"/>
  <c r="F41" i="4" s="1"/>
  <c r="C9" i="5" s="1"/>
  <c r="C22" i="4"/>
  <c r="H41" i="4" l="1"/>
  <c r="F9" i="5" s="1"/>
  <c r="H9" i="5" s="1"/>
  <c r="C57" i="7"/>
  <c r="C56" i="7"/>
  <c r="C55" i="7"/>
  <c r="I9" i="5" l="1"/>
  <c r="K9" i="5" s="1"/>
  <c r="N9" i="5" s="1"/>
  <c r="I40" i="7"/>
  <c r="F23" i="7"/>
  <c r="I41" i="7"/>
  <c r="F24" i="7"/>
  <c r="I42" i="7"/>
  <c r="F25" i="7"/>
  <c r="I43" i="7"/>
  <c r="F26" i="7"/>
  <c r="I44" i="7"/>
  <c r="F27" i="7"/>
  <c r="I45" i="7"/>
  <c r="N10" i="4" l="1"/>
  <c r="S17" i="4"/>
  <c r="S16" i="4"/>
  <c r="S12" i="4"/>
  <c r="S11" i="4"/>
  <c r="S7" i="4"/>
  <c r="S6" i="4"/>
  <c r="S5" i="4"/>
  <c r="S4" i="4"/>
  <c r="S3" i="4"/>
  <c r="N14" i="4"/>
  <c r="N13" i="4"/>
  <c r="N12" i="4"/>
  <c r="N11" i="4"/>
  <c r="N9" i="4"/>
  <c r="N5" i="4"/>
  <c r="N4" i="4"/>
  <c r="N3" i="4"/>
  <c r="S8" i="4" l="1"/>
  <c r="T8" i="4" s="1"/>
  <c r="Q21" i="4" s="1"/>
  <c r="S13" i="4"/>
  <c r="T13" i="4" s="1"/>
  <c r="R21" i="4" s="1"/>
  <c r="S18" i="4"/>
  <c r="T18" i="4" s="1"/>
  <c r="S21" i="4" s="1"/>
  <c r="N6" i="4"/>
  <c r="O6" i="4" s="1"/>
  <c r="O21" i="4" s="1"/>
  <c r="N15" i="4"/>
  <c r="O15" i="4" s="1"/>
  <c r="P21" i="4" s="1"/>
  <c r="I182" i="7"/>
  <c r="I181" i="7"/>
  <c r="I180" i="7"/>
  <c r="I179" i="7"/>
  <c r="I178" i="7"/>
  <c r="I177" i="7"/>
  <c r="I176" i="7"/>
  <c r="I175" i="7"/>
  <c r="I174" i="7"/>
  <c r="I173" i="7"/>
  <c r="I172" i="7"/>
  <c r="I171" i="7"/>
  <c r="I170" i="7"/>
  <c r="I169" i="7"/>
  <c r="I168" i="7"/>
  <c r="I167" i="7"/>
  <c r="I166" i="7"/>
  <c r="I165" i="7"/>
  <c r="I164" i="7"/>
  <c r="I163" i="7"/>
  <c r="I162" i="7"/>
  <c r="I161" i="7"/>
  <c r="I160" i="7"/>
  <c r="I159" i="7"/>
  <c r="I158" i="7"/>
  <c r="I157" i="7"/>
  <c r="I156" i="7"/>
  <c r="I155" i="7"/>
  <c r="I154" i="7"/>
  <c r="I153" i="7"/>
  <c r="I152" i="7"/>
  <c r="I151" i="7"/>
  <c r="I150" i="7"/>
  <c r="I149" i="7"/>
  <c r="I148" i="7"/>
  <c r="I147" i="7"/>
  <c r="I146" i="7"/>
  <c r="I145" i="7"/>
  <c r="I144" i="7"/>
  <c r="I143" i="7"/>
  <c r="I142" i="7"/>
  <c r="I141" i="7"/>
  <c r="I140" i="7"/>
  <c r="I139" i="7"/>
  <c r="I138" i="7"/>
  <c r="I137" i="7"/>
  <c r="I136" i="7"/>
  <c r="I135" i="7"/>
  <c r="I134" i="7"/>
  <c r="I133" i="7"/>
  <c r="I132" i="7"/>
  <c r="I131" i="7"/>
  <c r="I130" i="7"/>
  <c r="I129" i="7"/>
  <c r="I128" i="7"/>
  <c r="I127" i="7"/>
  <c r="I126" i="7"/>
  <c r="I125" i="7"/>
  <c r="I124" i="7"/>
  <c r="I123" i="7"/>
  <c r="I122" i="7"/>
  <c r="I121" i="7"/>
  <c r="I120" i="7"/>
  <c r="I119" i="7"/>
  <c r="I118" i="7"/>
  <c r="I117" i="7"/>
  <c r="I116" i="7"/>
  <c r="I115" i="7"/>
  <c r="I114" i="7"/>
  <c r="I113" i="7"/>
  <c r="I112" i="7"/>
  <c r="I111" i="7"/>
  <c r="I110" i="7"/>
  <c r="I109" i="7"/>
  <c r="I108" i="7"/>
  <c r="I107" i="7"/>
  <c r="I106" i="7"/>
  <c r="I105" i="7"/>
  <c r="I104" i="7"/>
  <c r="I103" i="7"/>
  <c r="I102" i="7"/>
  <c r="I101" i="7"/>
  <c r="I100" i="7"/>
  <c r="I99" i="7"/>
  <c r="I98" i="7"/>
  <c r="I97" i="7"/>
  <c r="I96" i="7"/>
  <c r="I95" i="7"/>
  <c r="I94" i="7"/>
  <c r="I93" i="7"/>
  <c r="I92" i="7"/>
  <c r="I91" i="7"/>
  <c r="I90" i="7"/>
  <c r="I89" i="7"/>
  <c r="I88" i="7"/>
  <c r="I87" i="7"/>
  <c r="I86" i="7"/>
  <c r="I85" i="7"/>
  <c r="I84" i="7"/>
  <c r="I83" i="7"/>
  <c r="I82" i="7"/>
  <c r="I81" i="7"/>
  <c r="I80" i="7"/>
  <c r="I79" i="7"/>
  <c r="I78" i="7"/>
  <c r="I77" i="7"/>
  <c r="I76" i="7"/>
  <c r="I75" i="7"/>
  <c r="I74" i="7"/>
  <c r="I73" i="7"/>
  <c r="I72" i="7"/>
  <c r="I71" i="7"/>
  <c r="I70" i="7"/>
  <c r="I69" i="7"/>
  <c r="I68" i="7"/>
  <c r="I67" i="7"/>
  <c r="I66" i="7"/>
  <c r="I65" i="7"/>
  <c r="I64" i="7"/>
  <c r="I63" i="7"/>
  <c r="I62" i="7"/>
  <c r="I61" i="7"/>
  <c r="I60" i="7"/>
  <c r="I59" i="7"/>
  <c r="I58" i="7"/>
  <c r="I57" i="7"/>
  <c r="I56" i="7"/>
  <c r="I55" i="7"/>
  <c r="I54" i="7"/>
  <c r="I53" i="7"/>
  <c r="I52" i="7"/>
  <c r="I51" i="7"/>
  <c r="I50" i="7"/>
  <c r="I49" i="7"/>
  <c r="I48" i="7"/>
  <c r="I47" i="7"/>
  <c r="I46" i="7"/>
  <c r="I39" i="7"/>
  <c r="I38" i="7"/>
  <c r="I37" i="7"/>
  <c r="I36" i="7"/>
  <c r="I35" i="7"/>
  <c r="I34" i="7"/>
  <c r="O16" i="6" l="1"/>
  <c r="O15" i="6"/>
  <c r="O6" i="6"/>
  <c r="O5" i="6"/>
  <c r="O4" i="6"/>
  <c r="O3" i="6"/>
  <c r="E4" i="4" l="1"/>
  <c r="E5" i="4"/>
  <c r="E6" i="4"/>
  <c r="E7" i="4"/>
  <c r="E8" i="4"/>
  <c r="E9" i="4"/>
  <c r="E10" i="4"/>
  <c r="E11" i="4"/>
  <c r="E12" i="4"/>
  <c r="E13" i="4"/>
  <c r="E14" i="4"/>
  <c r="E15" i="4"/>
  <c r="E3" i="4"/>
  <c r="D18" i="4"/>
  <c r="F2" i="5" s="1"/>
  <c r="E18" i="4" l="1"/>
  <c r="F18" i="4" l="1"/>
</calcChain>
</file>

<file path=xl/sharedStrings.xml><?xml version="1.0" encoding="utf-8"?>
<sst xmlns="http://schemas.openxmlformats.org/spreadsheetml/2006/main" count="474" uniqueCount="195">
  <si>
    <t>Appareils Alimentations</t>
  </si>
  <si>
    <t>Eau froide ou eau mélangée (L/s)</t>
  </si>
  <si>
    <t>Appareils Evacuations</t>
  </si>
  <si>
    <t>Evier - Timbre d'office</t>
  </si>
  <si>
    <t>Baignoire (distance siphon-chute &lt; 1m)</t>
  </si>
  <si>
    <t>Lavabo</t>
  </si>
  <si>
    <t>Baignoire (distance siphon-chute &gt; 1m)</t>
  </si>
  <si>
    <t>Lavabo collectif (par jet)</t>
  </si>
  <si>
    <t>Douche</t>
  </si>
  <si>
    <t>Bidet</t>
  </si>
  <si>
    <t xml:space="preserve">Lavabo </t>
  </si>
  <si>
    <t>Baignoire</t>
  </si>
  <si>
    <t>Appareil avec bonde à grille</t>
  </si>
  <si>
    <t>Poste d'eau 1/2"</t>
  </si>
  <si>
    <t>Lave-mains</t>
  </si>
  <si>
    <t>Poste d'eau 3/4"</t>
  </si>
  <si>
    <t>Evier</t>
  </si>
  <si>
    <t>W.C. avec réservoir de chasse</t>
  </si>
  <si>
    <t>Bac à laver</t>
  </si>
  <si>
    <t>W.C. avec robinet de chasse</t>
  </si>
  <si>
    <t>Urinoir</t>
  </si>
  <si>
    <t>Urinoir avec robinet individuel</t>
  </si>
  <si>
    <t>Urinoir à action siphonique</t>
  </si>
  <si>
    <t>W.C. à chasse directe</t>
  </si>
  <si>
    <t>W.C. à action siphonique</t>
  </si>
  <si>
    <t>Machine à laver le linge</t>
  </si>
  <si>
    <t>Machine à laver la vaisselle</t>
  </si>
  <si>
    <t>Lave-linge</t>
  </si>
  <si>
    <t>Lave-vaisselle</t>
  </si>
  <si>
    <t>Eau chaude (L/s)</t>
  </si>
  <si>
    <t>Debit minimal (L/s)</t>
  </si>
  <si>
    <t>Appareil</t>
  </si>
  <si>
    <t>Coefficient</t>
  </si>
  <si>
    <t>WC avec reservoir de chasse</t>
  </si>
  <si>
    <t>Robinet de puisage au-dessus d'un siphon de sol</t>
  </si>
  <si>
    <t>Machine à laver lle linge/vaiselle</t>
  </si>
  <si>
    <t>Poste d'eau</t>
  </si>
  <si>
    <t>Timbre d'office</t>
  </si>
  <si>
    <t>Baignoire (=150L)</t>
  </si>
  <si>
    <t>Baignoire (&gt;150l)</t>
  </si>
  <si>
    <t>3 + 0.1 par tranche de 10 L</t>
  </si>
  <si>
    <t>WC à usage collectif</t>
  </si>
  <si>
    <t>Selon nb de jets</t>
  </si>
  <si>
    <t>D du robinet</t>
  </si>
  <si>
    <t>Diamétre inf. min.</t>
  </si>
  <si>
    <t>Ä</t>
  </si>
  <si>
    <t>Evacuations</t>
  </si>
  <si>
    <r>
      <t>V</t>
    </r>
    <r>
      <rPr>
        <b/>
        <vertAlign val="subscript"/>
        <sz val="11"/>
        <color indexed="30"/>
        <rFont val="Calibri"/>
        <family val="2"/>
      </rPr>
      <t>fl.</t>
    </r>
    <r>
      <rPr>
        <b/>
        <sz val="11"/>
        <color indexed="30"/>
        <rFont val="Calibri"/>
        <family val="2"/>
      </rPr>
      <t xml:space="preserve"> (m/s)</t>
    </r>
  </si>
  <si>
    <r>
      <t>Qv</t>
    </r>
    <r>
      <rPr>
        <b/>
        <vertAlign val="subscript"/>
        <sz val="11"/>
        <rFont val="Calibri"/>
        <family val="2"/>
      </rPr>
      <t>Prob.</t>
    </r>
    <r>
      <rPr>
        <b/>
        <sz val="11"/>
        <rFont val="Calibri"/>
        <family val="2"/>
      </rPr>
      <t xml:space="preserve"> (L/s)</t>
    </r>
  </si>
  <si>
    <r>
      <t>Coef.</t>
    </r>
    <r>
      <rPr>
        <b/>
        <vertAlign val="subscript"/>
        <sz val="11"/>
        <rFont val="Calibri"/>
        <family val="2"/>
      </rPr>
      <t>Simult.</t>
    </r>
  </si>
  <si>
    <t>Désignation du local</t>
  </si>
  <si>
    <t>Détermination des diamètres de Plomberie à installer</t>
  </si>
  <si>
    <t>Alimentations</t>
  </si>
  <si>
    <t>Type</t>
  </si>
  <si>
    <t>Résultat</t>
  </si>
  <si>
    <t>Alimentation</t>
  </si>
  <si>
    <t>Evacuation</t>
  </si>
  <si>
    <t>Nb d'appareils</t>
  </si>
  <si>
    <t>Machine à laver le linge/vaiselle</t>
  </si>
  <si>
    <t>PER</t>
  </si>
  <si>
    <t>Cuivre</t>
  </si>
  <si>
    <t>Validations Imbriquées en B4 et C4</t>
  </si>
  <si>
    <t>Validations Imbriquées en J3:C16</t>
  </si>
  <si>
    <t>Validation en I17</t>
  </si>
  <si>
    <t>Abaques pour formule en J17</t>
  </si>
  <si>
    <t>Matières Alimentations</t>
  </si>
  <si>
    <t>Matières Evacuations</t>
  </si>
  <si>
    <t>Vitesses</t>
  </si>
  <si>
    <t>Types</t>
  </si>
  <si>
    <t>Matières</t>
  </si>
  <si>
    <t>Vitesses ou pente</t>
  </si>
  <si>
    <t>Diamètres</t>
  </si>
  <si>
    <r>
      <t>Diam.</t>
    </r>
    <r>
      <rPr>
        <vertAlign val="subscript"/>
        <sz val="11"/>
        <color indexed="8"/>
        <rFont val="Calibri"/>
        <family val="2"/>
      </rPr>
      <t>PVC 5/10</t>
    </r>
    <r>
      <rPr>
        <sz val="11"/>
        <color theme="1"/>
        <rFont val="Calibri"/>
        <family val="2"/>
        <scheme val="minor"/>
      </rPr>
      <t xml:space="preserve"> (mm)</t>
    </r>
  </si>
  <si>
    <r>
      <t>Diam.</t>
    </r>
    <r>
      <rPr>
        <vertAlign val="subscript"/>
        <sz val="11"/>
        <color indexed="8"/>
        <rFont val="Calibri"/>
        <family val="2"/>
      </rPr>
      <t>PVC 7/10</t>
    </r>
    <r>
      <rPr>
        <sz val="11"/>
        <color theme="1"/>
        <rFont val="Calibri"/>
        <family val="2"/>
        <scheme val="minor"/>
      </rPr>
      <t xml:space="preserve"> (mm)</t>
    </r>
  </si>
  <si>
    <r>
      <t>Diam.</t>
    </r>
    <r>
      <rPr>
        <vertAlign val="subscript"/>
        <sz val="11"/>
        <color indexed="8"/>
        <rFont val="Calibri"/>
        <family val="2"/>
      </rPr>
      <t>Cuivre</t>
    </r>
    <r>
      <rPr>
        <sz val="11"/>
        <color theme="1"/>
        <rFont val="Calibri"/>
        <family val="2"/>
        <scheme val="minor"/>
      </rPr>
      <t xml:space="preserve"> (mm)</t>
    </r>
  </si>
  <si>
    <r>
      <t>Diam.</t>
    </r>
    <r>
      <rPr>
        <vertAlign val="subscript"/>
        <sz val="11"/>
        <color indexed="8"/>
        <rFont val="Calibri"/>
        <family val="2"/>
      </rPr>
      <t>PEHD 12,5b.</t>
    </r>
    <r>
      <rPr>
        <sz val="11"/>
        <color theme="1"/>
        <rFont val="Calibri"/>
        <family val="2"/>
        <scheme val="minor"/>
      </rPr>
      <t xml:space="preserve"> (mm)</t>
    </r>
  </si>
  <si>
    <r>
      <t>Diam.</t>
    </r>
    <r>
      <rPr>
        <vertAlign val="subscript"/>
        <sz val="11"/>
        <color indexed="8"/>
        <rFont val="Calibri"/>
        <family val="2"/>
      </rPr>
      <t>PVC Pres. 6b.</t>
    </r>
    <r>
      <rPr>
        <sz val="11"/>
        <color theme="1"/>
        <rFont val="Calibri"/>
        <family val="2"/>
        <scheme val="minor"/>
      </rPr>
      <t xml:space="preserve"> (mm)</t>
    </r>
  </si>
  <si>
    <t>PVC Pression 6 bar ; 20°C</t>
  </si>
  <si>
    <t>PVC 5/10</t>
  </si>
  <si>
    <t>1cm/m</t>
  </si>
  <si>
    <t>PVC 7/10</t>
  </si>
  <si>
    <t>Tronçon</t>
  </si>
  <si>
    <t>Nombres d'appareils</t>
  </si>
  <si>
    <t>Type d'appareil</t>
  </si>
  <si>
    <t>Débit minimal de calcul</t>
  </si>
  <si>
    <t>Diamètre correspondant pour les tubes cuivre</t>
  </si>
  <si>
    <t>Diamètre correspondant pour les tubes PER ou PB</t>
  </si>
  <si>
    <t>Eau froide ou mélangée</t>
  </si>
  <si>
    <t>Eau chaude</t>
  </si>
  <si>
    <t>Somme des unités</t>
  </si>
  <si>
    <t>Diamètre intérieur minimal [mm]</t>
  </si>
  <si>
    <t>[l/s]</t>
  </si>
  <si>
    <t>14 x 1</t>
  </si>
  <si>
    <t>16/13</t>
  </si>
  <si>
    <t>12 x 1</t>
  </si>
  <si>
    <t>12/10</t>
  </si>
  <si>
    <t>Lavabo collectif (jets)</t>
  </si>
  <si>
    <t>selon nb</t>
  </si>
  <si>
    <t>15 x 1</t>
  </si>
  <si>
    <t>Poste d'eau - Robinet 1/2"</t>
  </si>
  <si>
    <t>Poste d'eau - Robinet 3/4"</t>
  </si>
  <si>
    <t>WC avec réservoir de chasse</t>
  </si>
  <si>
    <t>WC avec robinet de chasse</t>
  </si>
  <si>
    <t>ø robinet</t>
  </si>
  <si>
    <t>Lave mains</t>
  </si>
  <si>
    <t>Baignoire jusqu'à 150 litres</t>
  </si>
  <si>
    <t>Baignoire /tranche de 10 litres au-dessus de 150 litres</t>
  </si>
  <si>
    <t>Appareils installés</t>
  </si>
  <si>
    <t>Débit correspondt</t>
  </si>
  <si>
    <t>1 à 3</t>
  </si>
  <si>
    <t>4 à 12</t>
  </si>
  <si>
    <t>13 à 24</t>
  </si>
  <si>
    <t>25 à 50</t>
  </si>
  <si>
    <t>plus de 50</t>
  </si>
  <si>
    <t>Nb appareils</t>
  </si>
  <si>
    <t>Coef simult</t>
  </si>
  <si>
    <t>Fonctionnement simult.</t>
  </si>
  <si>
    <t>Materiau</t>
  </si>
  <si>
    <t>PVC pression</t>
  </si>
  <si>
    <t>Materiaux</t>
  </si>
  <si>
    <t>AB</t>
  </si>
  <si>
    <t>1.15J</t>
  </si>
  <si>
    <t>Nombre</t>
  </si>
  <si>
    <t>                     </t>
  </si>
  <si>
    <t>WC</t>
  </si>
  <si>
    <t>Lave linge</t>
  </si>
  <si>
    <t>Lave vaisselle</t>
  </si>
  <si>
    <t>Cuisine</t>
  </si>
  <si>
    <t>Salle de bain</t>
  </si>
  <si>
    <t>Salle d'eau</t>
  </si>
  <si>
    <t>Toilettes</t>
  </si>
  <si>
    <t>Cellier</t>
  </si>
  <si>
    <t>Tot</t>
  </si>
  <si>
    <t>Coeff</t>
  </si>
  <si>
    <t>Alimentation principale</t>
  </si>
  <si>
    <t>Branches terminales</t>
  </si>
  <si>
    <t>Appareils à brancher</t>
  </si>
  <si>
    <t>Diamétre int. min.</t>
  </si>
  <si>
    <t xml:space="preserve">Diametre </t>
  </si>
  <si>
    <t>10/12</t>
  </si>
  <si>
    <t>12/14</t>
  </si>
  <si>
    <t>14/16</t>
  </si>
  <si>
    <t>16/18</t>
  </si>
  <si>
    <t>20/22</t>
  </si>
  <si>
    <t>22/24</t>
  </si>
  <si>
    <t>24/26</t>
  </si>
  <si>
    <t>26/28</t>
  </si>
  <si>
    <t>28/30</t>
  </si>
  <si>
    <t>20/30</t>
  </si>
  <si>
    <t>18/20</t>
  </si>
  <si>
    <t>8/10</t>
  </si>
  <si>
    <r>
      <t xml:space="preserve">Alimentation </t>
    </r>
    <r>
      <rPr>
        <b/>
        <sz val="11"/>
        <color theme="1"/>
        <rFont val="Calibri"/>
        <family val="2"/>
        <scheme val="minor"/>
      </rPr>
      <t>cuisine</t>
    </r>
  </si>
  <si>
    <r>
      <t xml:space="preserve">Alimentation </t>
    </r>
    <r>
      <rPr>
        <b/>
        <sz val="11"/>
        <color theme="1"/>
        <rFont val="Calibri"/>
        <family val="2"/>
        <scheme val="minor"/>
      </rPr>
      <t>salle de bain</t>
    </r>
  </si>
  <si>
    <r>
      <t xml:space="preserve">Alimentation </t>
    </r>
    <r>
      <rPr>
        <b/>
        <sz val="11"/>
        <color theme="1"/>
        <rFont val="Calibri"/>
        <family val="2"/>
        <scheme val="minor"/>
      </rPr>
      <t>salle d'eau</t>
    </r>
  </si>
  <si>
    <r>
      <t xml:space="preserve">Alimentation </t>
    </r>
    <r>
      <rPr>
        <b/>
        <sz val="11"/>
        <color theme="1"/>
        <rFont val="Calibri"/>
        <family val="2"/>
        <scheme val="minor"/>
      </rPr>
      <t>toilettes</t>
    </r>
  </si>
  <si>
    <r>
      <t xml:space="preserve">Alimentation </t>
    </r>
    <r>
      <rPr>
        <b/>
        <sz val="11"/>
        <color theme="1"/>
        <rFont val="Calibri"/>
        <family val="2"/>
        <scheme val="minor"/>
      </rPr>
      <t>Cellier</t>
    </r>
  </si>
  <si>
    <t>Diamétre conduite principale (mm)</t>
  </si>
  <si>
    <t>Diamétre conduite (mm)</t>
  </si>
  <si>
    <t>15/20</t>
  </si>
  <si>
    <t>13/16</t>
  </si>
  <si>
    <t>16/20</t>
  </si>
  <si>
    <t>20/25</t>
  </si>
  <si>
    <t>22/25</t>
  </si>
  <si>
    <t>26/32</t>
  </si>
  <si>
    <t>6/8</t>
  </si>
  <si>
    <t>15/16</t>
  </si>
  <si>
    <t>17/20</t>
  </si>
  <si>
    <t>28/32</t>
  </si>
  <si>
    <t>PER  12,5 bar ; 20°C</t>
  </si>
  <si>
    <t>Nombre d'étage</t>
  </si>
  <si>
    <t>Nombre d'appartement/étage</t>
  </si>
  <si>
    <t>Nombre total d'appareils</t>
  </si>
  <si>
    <t xml:space="preserve">Nb total d'appareils </t>
  </si>
  <si>
    <t>Nb total d'unités</t>
  </si>
  <si>
    <r>
      <t>Qv</t>
    </r>
    <r>
      <rPr>
        <b/>
        <vertAlign val="subscript"/>
        <sz val="11"/>
        <rFont val="Calibri"/>
        <family val="2"/>
      </rPr>
      <t>Brut</t>
    </r>
    <r>
      <rPr>
        <b/>
        <sz val="11"/>
        <rFont val="Calibri"/>
        <family val="2"/>
      </rPr>
      <t xml:space="preserve"> (L/s)</t>
    </r>
  </si>
  <si>
    <t>Machine à laver la vaiselle/linge</t>
  </si>
  <si>
    <t>Diamétre int.</t>
  </si>
  <si>
    <t>L</t>
  </si>
  <si>
    <t>1.15J*L</t>
  </si>
  <si>
    <t>Denivelé</t>
  </si>
  <si>
    <t>Coeff simult</t>
  </si>
  <si>
    <t>Debit prob (l/s)</t>
  </si>
  <si>
    <t>Debit brut (l/s)</t>
  </si>
  <si>
    <t>Debit Min (l/s)</t>
  </si>
  <si>
    <t>Diamètre int.min. (mm)</t>
  </si>
  <si>
    <t>Diam. int. Min. (mm)</t>
  </si>
  <si>
    <t>Colonne Principale</t>
  </si>
  <si>
    <t>1-2</t>
  </si>
  <si>
    <t>Napp</t>
  </si>
  <si>
    <t>Type du matériau</t>
  </si>
  <si>
    <t>Pression E. (mCE/m)</t>
  </si>
  <si>
    <t>Pression S. (mCE/m)</t>
  </si>
  <si>
    <t>Diametre</t>
  </si>
  <si>
    <t>Diametre com.</t>
  </si>
  <si>
    <t>0-1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</si>
</sst>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31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indexed="30"/>
      <name val="Calibri"/>
      <family val="2"/>
    </font>
    <font>
      <sz val="11"/>
      <name val="Calibri"/>
      <family val="2"/>
    </font>
    <font>
      <sz val="11"/>
      <color indexed="8"/>
      <name val="Wingdings"/>
      <charset val="2"/>
    </font>
    <font>
      <b/>
      <sz val="11"/>
      <color indexed="10"/>
      <name val="Calibri"/>
      <family val="2"/>
    </font>
    <font>
      <b/>
      <sz val="11"/>
      <color indexed="30"/>
      <name val="Calibri"/>
      <family val="2"/>
    </font>
    <font>
      <b/>
      <vertAlign val="subscript"/>
      <sz val="11"/>
      <color indexed="30"/>
      <name val="Calibri"/>
      <family val="2"/>
    </font>
    <font>
      <b/>
      <sz val="11"/>
      <name val="Calibri"/>
      <family val="2"/>
    </font>
    <font>
      <b/>
      <vertAlign val="subscript"/>
      <sz val="11"/>
      <name val="Calibri"/>
      <family val="2"/>
    </font>
    <font>
      <b/>
      <sz val="8"/>
      <color indexed="8"/>
      <name val="Calibri"/>
      <family val="2"/>
    </font>
    <font>
      <sz val="11"/>
      <color indexed="8"/>
      <name val="Calibri"/>
      <family val="2"/>
    </font>
    <font>
      <vertAlign val="subscript"/>
      <sz val="11"/>
      <color indexed="8"/>
      <name val="Calibri"/>
      <family val="2"/>
    </font>
    <font>
      <b/>
      <sz val="10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0"/>
      <name val="Arial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Arial Black"/>
      <family val="2"/>
    </font>
    <font>
      <sz val="11"/>
      <color rgb="FF9C6500"/>
      <name val="Calibri"/>
      <family val="2"/>
      <scheme val="minor"/>
    </font>
    <font>
      <sz val="10"/>
      <name val="Arial"/>
      <family val="2"/>
    </font>
    <font>
      <b/>
      <sz val="11"/>
      <color theme="1"/>
      <name val="Batang"/>
      <family val="1"/>
    </font>
    <font>
      <b/>
      <sz val="10"/>
      <name val="Arial"/>
      <family val="2"/>
    </font>
    <font>
      <b/>
      <sz val="11"/>
      <color rgb="FFFA7D00"/>
      <name val="Calibri"/>
      <family val="2"/>
      <scheme val="minor"/>
    </font>
    <font>
      <b/>
      <sz val="11"/>
      <color rgb="FF0061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76"/>
      <name val="Bodoni MT Black"/>
      <family val="1"/>
    </font>
  </fonts>
  <fills count="1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/>
      </patternFill>
    </fill>
    <fill>
      <patternFill patternType="solid">
        <fgColor rgb="FFFFEB9C"/>
      </patternFill>
    </fill>
    <fill>
      <patternFill patternType="solid">
        <fgColor theme="8" tint="0.79998168889431442"/>
        <bgColor indexed="65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6" tint="0.59999389629810485"/>
        <bgColor indexed="65"/>
      </patternFill>
    </fill>
    <fill>
      <patternFill patternType="solid">
        <fgColor rgb="FFFFCC99"/>
      </patternFill>
    </fill>
  </fills>
  <borders count="14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hair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8" tint="-0.499984740745262"/>
      </top>
      <bottom style="thin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thin">
        <color theme="8" tint="-0.499984740745262"/>
      </top>
      <bottom style="medium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/>
      <bottom style="thin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8" tint="-0.499984740745262"/>
      </top>
      <bottom style="double">
        <color theme="8" tint="-0.499984740745262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theme="8" tint="-0.499984740745262"/>
      </left>
      <right style="thin">
        <color theme="8" tint="-0.499984740745262"/>
      </right>
      <top style="medium">
        <color theme="8" tint="-0.499984740745262"/>
      </top>
      <bottom style="thin">
        <color theme="8" tint="-0.499984740745262"/>
      </bottom>
      <diagonal/>
    </border>
    <border>
      <left style="thin">
        <color theme="8" tint="-0.499984740745262"/>
      </left>
      <right style="thin">
        <color theme="8" tint="-0.499984740745262"/>
      </right>
      <top style="medium">
        <color theme="8" tint="-0.499984740745262"/>
      </top>
      <bottom style="thin">
        <color theme="8" tint="-0.499984740745262"/>
      </bottom>
      <diagonal/>
    </border>
    <border>
      <left style="thin">
        <color theme="8" tint="-0.499984740745262"/>
      </left>
      <right style="medium">
        <color theme="8" tint="-0.499984740745262"/>
      </right>
      <top style="medium">
        <color theme="8" tint="-0.499984740745262"/>
      </top>
      <bottom style="thin">
        <color theme="8" tint="-0.499984740745262"/>
      </bottom>
      <diagonal/>
    </border>
    <border>
      <left style="medium">
        <color theme="8" tint="-0.499984740745262"/>
      </left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 style="thin">
        <color theme="8" tint="-0.499984740745262"/>
      </left>
      <right style="medium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 style="medium">
        <color theme="8" tint="-0.499984740745262"/>
      </left>
      <right style="thin">
        <color theme="8" tint="-0.499984740745262"/>
      </right>
      <top style="thin">
        <color theme="8" tint="-0.499984740745262"/>
      </top>
      <bottom style="medium">
        <color theme="8" tint="-0.499984740745262"/>
      </bottom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 style="medium">
        <color theme="8" tint="-0.499984740745262"/>
      </bottom>
      <diagonal/>
    </border>
    <border>
      <left style="thin">
        <color theme="8" tint="-0.499984740745262"/>
      </left>
      <right style="medium">
        <color theme="8" tint="-0.499984740745262"/>
      </right>
      <top style="thin">
        <color theme="8" tint="-0.499984740745262"/>
      </top>
      <bottom style="medium">
        <color theme="8" tint="-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thin">
        <color rgb="FF7F7F7F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7F7F7F"/>
      </right>
      <top style="medium">
        <color indexed="64"/>
      </top>
      <bottom style="thin">
        <color rgb="FF7F7F7F"/>
      </bottom>
      <diagonal/>
    </border>
    <border>
      <left style="medium">
        <color indexed="64"/>
      </left>
      <right style="thin">
        <color rgb="FF7F7F7F"/>
      </right>
      <top style="thin">
        <color rgb="FF7F7F7F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theme="8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theme="8" tint="-0.499984740745262"/>
      </bottom>
      <diagonal/>
    </border>
    <border>
      <left/>
      <right style="medium">
        <color indexed="64"/>
      </right>
      <top style="medium">
        <color indexed="64"/>
      </top>
      <bottom style="medium">
        <color theme="8" tint="-0.499984740745262"/>
      </bottom>
      <diagonal/>
    </border>
    <border>
      <left/>
      <right/>
      <top style="double">
        <color indexed="64"/>
      </top>
      <bottom/>
      <diagonal/>
    </border>
    <border>
      <left style="medium">
        <color auto="1"/>
      </left>
      <right style="dashed">
        <color auto="1"/>
      </right>
      <top style="medium">
        <color auto="1"/>
      </top>
      <bottom style="medium">
        <color auto="1"/>
      </bottom>
      <diagonal/>
    </border>
    <border>
      <left style="dashed">
        <color auto="1"/>
      </left>
      <right style="dashed">
        <color auto="1"/>
      </right>
      <top style="medium">
        <color auto="1"/>
      </top>
      <bottom style="medium">
        <color auto="1"/>
      </bottom>
      <diagonal/>
    </border>
    <border>
      <left style="dashed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double">
        <color auto="1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ashed">
        <color indexed="64"/>
      </bottom>
      <diagonal/>
    </border>
    <border>
      <left style="thin">
        <color indexed="64"/>
      </left>
      <right/>
      <top style="double">
        <color auto="1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auto="1"/>
      </left>
      <right style="medium">
        <color auto="1"/>
      </right>
      <top/>
      <bottom style="dotted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auto="1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</borders>
  <cellStyleXfs count="12">
    <xf numFmtId="0" fontId="0" fillId="0" borderId="0"/>
    <xf numFmtId="0" fontId="16" fillId="2" borderId="0" applyNumberFormat="0" applyBorder="0" applyAlignment="0" applyProtection="0"/>
    <xf numFmtId="0" fontId="17" fillId="3" borderId="0" applyNumberFormat="0" applyBorder="0" applyAlignment="0" applyProtection="0"/>
    <xf numFmtId="0" fontId="15" fillId="4" borderId="0" applyNumberFormat="0" applyBorder="0" applyAlignment="0" applyProtection="0"/>
    <xf numFmtId="0" fontId="18" fillId="0" borderId="0"/>
    <xf numFmtId="0" fontId="19" fillId="5" borderId="0" applyNumberFormat="0" applyBorder="0" applyAlignment="0" applyProtection="0"/>
    <xf numFmtId="0" fontId="23" fillId="6" borderId="0" applyNumberFormat="0" applyBorder="0" applyAlignment="0" applyProtection="0"/>
    <xf numFmtId="0" fontId="15" fillId="7" borderId="0" applyNumberFormat="0" applyBorder="0" applyAlignment="0" applyProtection="0"/>
    <xf numFmtId="0" fontId="27" fillId="8" borderId="102" applyNumberFormat="0" applyAlignment="0" applyProtection="0"/>
    <xf numFmtId="0" fontId="15" fillId="9" borderId="103" applyNumberFormat="0" applyFont="0" applyAlignment="0" applyProtection="0"/>
    <xf numFmtId="0" fontId="15" fillId="10" borderId="0" applyNumberFormat="0" applyBorder="0" applyAlignment="0" applyProtection="0"/>
    <xf numFmtId="0" fontId="29" fillId="11" borderId="102" applyNumberFormat="0" applyAlignment="0" applyProtection="0"/>
  </cellStyleXfs>
  <cellXfs count="334">
    <xf numFmtId="0" fontId="0" fillId="0" borderId="0" xfId="0"/>
    <xf numFmtId="0" fontId="0" fillId="0" borderId="0" xfId="0" applyAlignment="1" applyProtection="1">
      <alignment vertical="center"/>
    </xf>
    <xf numFmtId="0" fontId="3" fillId="0" borderId="9" xfId="0" applyNumberFormat="1" applyFont="1" applyBorder="1" applyAlignment="1" applyProtection="1">
      <alignment horizontal="center" vertical="center"/>
    </xf>
    <xf numFmtId="2" fontId="4" fillId="0" borderId="9" xfId="0" applyNumberFormat="1" applyFont="1" applyBorder="1" applyAlignment="1" applyProtection="1">
      <alignment horizontal="right" vertical="center"/>
    </xf>
    <xf numFmtId="2" fontId="0" fillId="0" borderId="23" xfId="0" applyNumberFormat="1" applyBorder="1" applyAlignment="1" applyProtection="1">
      <alignment horizontal="right" vertical="center"/>
    </xf>
    <xf numFmtId="0" fontId="0" fillId="0" borderId="24" xfId="0" applyBorder="1" applyAlignment="1" applyProtection="1">
      <alignment vertical="center"/>
    </xf>
    <xf numFmtId="2" fontId="4" fillId="0" borderId="4" xfId="0" applyNumberFormat="1" applyFont="1" applyBorder="1" applyAlignment="1" applyProtection="1">
      <alignment horizontal="right" vertical="center"/>
    </xf>
    <xf numFmtId="0" fontId="0" fillId="0" borderId="27" xfId="0" applyBorder="1" applyAlignment="1" applyProtection="1">
      <alignment vertical="center"/>
    </xf>
    <xf numFmtId="0" fontId="0" fillId="0" borderId="31" xfId="0" applyBorder="1" applyAlignment="1" applyProtection="1">
      <alignment horizontal="center" vertical="center"/>
    </xf>
    <xf numFmtId="0" fontId="9" fillId="0" borderId="12" xfId="0" applyFont="1" applyBorder="1" applyAlignment="1" applyProtection="1">
      <alignment horizontal="center" vertical="center"/>
    </xf>
    <xf numFmtId="0" fontId="7" fillId="0" borderId="32" xfId="0" applyFont="1" applyBorder="1" applyAlignment="1" applyProtection="1">
      <alignment horizontal="center" vertical="center"/>
    </xf>
    <xf numFmtId="0" fontId="9" fillId="0" borderId="11" xfId="0" applyFont="1" applyBorder="1" applyAlignment="1" applyProtection="1">
      <alignment horizontal="center" vertical="center"/>
    </xf>
    <xf numFmtId="0" fontId="4" fillId="0" borderId="0" xfId="0" applyFont="1" applyAlignment="1" applyProtection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Border="1" applyAlignment="1">
      <alignment horizontal="center" vertical="center"/>
    </xf>
    <xf numFmtId="0" fontId="0" fillId="0" borderId="35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35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46" xfId="0" applyFill="1" applyBorder="1" applyAlignment="1">
      <alignment horizontal="center" vertical="center"/>
    </xf>
    <xf numFmtId="0" fontId="11" fillId="0" borderId="47" xfId="0" applyFont="1" applyFill="1" applyBorder="1" applyAlignment="1">
      <alignment horizontal="center" vertical="center" wrapText="1"/>
    </xf>
    <xf numFmtId="0" fontId="0" fillId="0" borderId="48" xfId="0" applyFill="1" applyBorder="1" applyAlignment="1">
      <alignment horizontal="center" vertical="center"/>
    </xf>
    <xf numFmtId="0" fontId="11" fillId="0" borderId="49" xfId="0" applyFont="1" applyFill="1" applyBorder="1" applyAlignment="1">
      <alignment horizontal="center" vertical="center" wrapText="1"/>
    </xf>
    <xf numFmtId="0" fontId="0" fillId="0" borderId="50" xfId="0" applyFill="1" applyBorder="1" applyAlignment="1">
      <alignment horizontal="center" vertical="center"/>
    </xf>
    <xf numFmtId="0" fontId="0" fillId="0" borderId="49" xfId="0" applyFill="1" applyBorder="1" applyAlignment="1">
      <alignment horizontal="center" vertical="center"/>
    </xf>
    <xf numFmtId="0" fontId="0" fillId="0" borderId="51" xfId="0" applyFill="1" applyBorder="1" applyAlignment="1">
      <alignment horizontal="center" vertical="center"/>
    </xf>
    <xf numFmtId="0" fontId="0" fillId="0" borderId="14" xfId="0" applyFill="1" applyBorder="1" applyAlignment="1">
      <alignment vertical="center"/>
    </xf>
    <xf numFmtId="0" fontId="12" fillId="0" borderId="1" xfId="0" applyFont="1" applyFill="1" applyBorder="1" applyAlignment="1">
      <alignment vertical="center"/>
    </xf>
    <xf numFmtId="2" fontId="12" fillId="0" borderId="1" xfId="0" applyNumberFormat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vertical="center"/>
    </xf>
    <xf numFmtId="2" fontId="12" fillId="0" borderId="3" xfId="0" applyNumberFormat="1" applyFont="1" applyFill="1" applyBorder="1" applyAlignment="1">
      <alignment horizontal="center" vertical="center" wrapText="1"/>
    </xf>
    <xf numFmtId="0" fontId="0" fillId="0" borderId="52" xfId="0" applyFill="1" applyBorder="1" applyAlignment="1">
      <alignment vertical="center"/>
    </xf>
    <xf numFmtId="0" fontId="0" fillId="0" borderId="53" xfId="0" applyFill="1" applyBorder="1" applyAlignment="1">
      <alignment vertical="center"/>
    </xf>
    <xf numFmtId="0" fontId="0" fillId="0" borderId="54" xfId="0" applyBorder="1" applyAlignment="1" applyProtection="1">
      <alignment vertical="center"/>
    </xf>
    <xf numFmtId="0" fontId="12" fillId="0" borderId="4" xfId="0" applyFont="1" applyFill="1" applyBorder="1" applyAlignment="1">
      <alignment vertical="center"/>
    </xf>
    <xf numFmtId="2" fontId="12" fillId="0" borderId="4" xfId="0" applyNumberFormat="1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vertical="center"/>
    </xf>
    <xf numFmtId="2" fontId="12" fillId="0" borderId="6" xfId="0" applyNumberFormat="1" applyFont="1" applyFill="1" applyBorder="1" applyAlignment="1">
      <alignment horizontal="center" vertical="center" wrapText="1"/>
    </xf>
    <xf numFmtId="0" fontId="0" fillId="0" borderId="3" xfId="0" applyFill="1" applyBorder="1" applyAlignment="1">
      <alignment vertical="center"/>
    </xf>
    <xf numFmtId="0" fontId="0" fillId="0" borderId="56" xfId="0" applyFill="1" applyBorder="1" applyAlignment="1">
      <alignment vertical="center"/>
    </xf>
    <xf numFmtId="0" fontId="0" fillId="0" borderId="57" xfId="0" applyBorder="1" applyAlignment="1" applyProtection="1">
      <alignment horizontal="center" vertical="center"/>
    </xf>
    <xf numFmtId="0" fontId="0" fillId="0" borderId="58" xfId="0" applyNumberFormat="1" applyBorder="1" applyAlignment="1" applyProtection="1">
      <alignment horizontal="center" vertical="center"/>
    </xf>
    <xf numFmtId="0" fontId="0" fillId="0" borderId="59" xfId="0" applyFill="1" applyBorder="1" applyAlignment="1">
      <alignment vertical="center"/>
    </xf>
    <xf numFmtId="0" fontId="0" fillId="0" borderId="60" xfId="0" applyFill="1" applyBorder="1" applyAlignment="1">
      <alignment vertical="center"/>
    </xf>
    <xf numFmtId="0" fontId="0" fillId="0" borderId="61" xfId="0" applyBorder="1" applyAlignment="1" applyProtection="1">
      <alignment horizontal="center" vertical="center"/>
    </xf>
    <xf numFmtId="0" fontId="0" fillId="0" borderId="62" xfId="0" applyNumberFormat="1" applyBorder="1" applyAlignment="1" applyProtection="1">
      <alignment horizontal="center" vertical="center"/>
    </xf>
    <xf numFmtId="0" fontId="12" fillId="0" borderId="5" xfId="0" applyFont="1" applyFill="1" applyBorder="1" applyAlignment="1">
      <alignment vertical="center" wrapText="1"/>
    </xf>
    <xf numFmtId="0" fontId="0" fillId="0" borderId="63" xfId="0" applyFill="1" applyBorder="1" applyAlignment="1">
      <alignment vertical="center"/>
    </xf>
    <xf numFmtId="0" fontId="0" fillId="0" borderId="65" xfId="0" applyBorder="1" applyAlignment="1" applyProtection="1">
      <alignment horizontal="center" vertical="center"/>
    </xf>
    <xf numFmtId="0" fontId="0" fillId="0" borderId="66" xfId="0" applyNumberFormat="1" applyBorder="1" applyAlignment="1" applyProtection="1">
      <alignment horizontal="center" vertical="center"/>
    </xf>
    <xf numFmtId="0" fontId="0" fillId="0" borderId="66" xfId="0" applyBorder="1" applyAlignment="1" applyProtection="1">
      <alignment horizontal="center" vertical="center"/>
    </xf>
    <xf numFmtId="0" fontId="0" fillId="0" borderId="58" xfId="0" applyBorder="1" applyAlignment="1" applyProtection="1">
      <alignment horizontal="center" vertical="center"/>
    </xf>
    <xf numFmtId="0" fontId="0" fillId="0" borderId="67" xfId="0" applyFill="1" applyBorder="1" applyAlignment="1">
      <alignment vertical="center"/>
    </xf>
    <xf numFmtId="0" fontId="0" fillId="0" borderId="64" xfId="0" applyBorder="1" applyAlignment="1" applyProtection="1">
      <alignment vertical="center"/>
    </xf>
    <xf numFmtId="0" fontId="0" fillId="0" borderId="55" xfId="0" applyBorder="1" applyAlignment="1" applyProtection="1">
      <alignment vertical="center"/>
    </xf>
    <xf numFmtId="0" fontId="0" fillId="0" borderId="58" xfId="0" applyBorder="1" applyAlignment="1">
      <alignment horizontal="center" vertical="center"/>
    </xf>
    <xf numFmtId="0" fontId="12" fillId="0" borderId="7" xfId="0" applyFont="1" applyFill="1" applyBorder="1" applyAlignment="1">
      <alignment vertical="center"/>
    </xf>
    <xf numFmtId="0" fontId="12" fillId="0" borderId="8" xfId="0" applyFont="1" applyFill="1" applyBorder="1" applyAlignment="1">
      <alignment vertical="center"/>
    </xf>
    <xf numFmtId="2" fontId="12" fillId="0" borderId="8" xfId="0" applyNumberFormat="1" applyFont="1" applyFill="1" applyBorder="1" applyAlignment="1">
      <alignment horizontal="center" vertical="center"/>
    </xf>
    <xf numFmtId="0" fontId="0" fillId="0" borderId="1" xfId="0" applyBorder="1" applyAlignment="1" applyProtection="1">
      <alignment vertical="center"/>
    </xf>
    <xf numFmtId="0" fontId="12" fillId="0" borderId="62" xfId="0" applyFont="1" applyBorder="1" applyAlignment="1">
      <alignment horizontal="center" vertical="center"/>
    </xf>
    <xf numFmtId="0" fontId="0" fillId="0" borderId="69" xfId="0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34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37" xfId="0" applyBorder="1"/>
    <xf numFmtId="0" fontId="0" fillId="0" borderId="20" xfId="0" applyBorder="1"/>
    <xf numFmtId="0" fontId="14" fillId="0" borderId="34" xfId="0" applyFont="1" applyBorder="1" applyAlignment="1">
      <alignment vertical="center"/>
    </xf>
    <xf numFmtId="0" fontId="14" fillId="0" borderId="34" xfId="0" applyFont="1" applyBorder="1" applyAlignment="1">
      <alignment vertical="center" wrapText="1"/>
    </xf>
    <xf numFmtId="0" fontId="0" fillId="0" borderId="0" xfId="0" applyBorder="1"/>
    <xf numFmtId="0" fontId="18" fillId="0" borderId="0" xfId="4"/>
    <xf numFmtId="0" fontId="17" fillId="3" borderId="34" xfId="2" applyBorder="1" applyAlignment="1">
      <alignment horizontal="center" vertical="center" wrapText="1"/>
    </xf>
    <xf numFmtId="0" fontId="18" fillId="0" borderId="21" xfId="4" applyBorder="1" applyAlignment="1">
      <alignment wrapText="1"/>
    </xf>
    <xf numFmtId="0" fontId="18" fillId="0" borderId="22" xfId="4" applyBorder="1" applyAlignment="1">
      <alignment wrapText="1"/>
    </xf>
    <xf numFmtId="0" fontId="18" fillId="0" borderId="27" xfId="4" applyBorder="1"/>
    <xf numFmtId="0" fontId="18" fillId="0" borderId="28" xfId="4" applyBorder="1"/>
    <xf numFmtId="0" fontId="18" fillId="0" borderId="34" xfId="4" applyBorder="1" applyAlignment="1">
      <alignment vertical="center"/>
    </xf>
    <xf numFmtId="2" fontId="18" fillId="0" borderId="34" xfId="4" applyNumberFormat="1" applyBorder="1" applyAlignment="1">
      <alignment horizontal="center" vertical="center"/>
    </xf>
    <xf numFmtId="0" fontId="18" fillId="0" borderId="34" xfId="4" applyBorder="1" applyAlignment="1">
      <alignment horizontal="center" vertical="center"/>
    </xf>
    <xf numFmtId="49" fontId="18" fillId="0" borderId="34" xfId="4" applyNumberFormat="1" applyBorder="1" applyAlignment="1">
      <alignment horizontal="center" vertical="center"/>
    </xf>
    <xf numFmtId="0" fontId="18" fillId="0" borderId="0" xfId="4" applyAlignment="1">
      <alignment vertical="center"/>
    </xf>
    <xf numFmtId="0" fontId="18" fillId="0" borderId="0" xfId="4" applyAlignment="1">
      <alignment horizontal="center" vertical="center"/>
    </xf>
    <xf numFmtId="0" fontId="16" fillId="2" borderId="34" xfId="1" applyBorder="1" applyAlignment="1">
      <alignment vertical="center"/>
    </xf>
    <xf numFmtId="0" fontId="16" fillId="2" borderId="34" xfId="1" applyBorder="1" applyAlignment="1">
      <alignment horizontal="center" vertical="center"/>
    </xf>
    <xf numFmtId="165" fontId="18" fillId="0" borderId="34" xfId="4" applyNumberFormat="1" applyBorder="1" applyAlignment="1">
      <alignment horizontal="center" vertical="center"/>
    </xf>
    <xf numFmtId="0" fontId="18" fillId="0" borderId="34" xfId="4" applyBorder="1" applyAlignment="1">
      <alignment vertical="center" wrapText="1"/>
    </xf>
    <xf numFmtId="0" fontId="18" fillId="0" borderId="34" xfId="4" applyBorder="1" applyAlignment="1">
      <alignment horizontal="center"/>
    </xf>
    <xf numFmtId="165" fontId="18" fillId="0" borderId="34" xfId="4" applyNumberFormat="1" applyBorder="1" applyAlignment="1">
      <alignment horizontal="center"/>
    </xf>
    <xf numFmtId="0" fontId="18" fillId="0" borderId="0" xfId="4" applyAlignment="1">
      <alignment horizontal="center"/>
    </xf>
    <xf numFmtId="0" fontId="18" fillId="0" borderId="25" xfId="4" applyBorder="1"/>
    <xf numFmtId="0" fontId="18" fillId="0" borderId="71" xfId="4" applyBorder="1"/>
    <xf numFmtId="0" fontId="18" fillId="0" borderId="21" xfId="4" applyBorder="1"/>
    <xf numFmtId="0" fontId="18" fillId="0" borderId="22" xfId="4" applyBorder="1"/>
    <xf numFmtId="0" fontId="16" fillId="2" borderId="34" xfId="1" applyBorder="1" applyAlignment="1">
      <alignment horizontal="center" vertical="center" wrapText="1"/>
    </xf>
    <xf numFmtId="0" fontId="14" fillId="0" borderId="0" xfId="0" applyFont="1" applyBorder="1" applyAlignment="1">
      <alignment vertical="center"/>
    </xf>
    <xf numFmtId="0" fontId="14" fillId="0" borderId="0" xfId="0" applyFont="1" applyBorder="1"/>
    <xf numFmtId="0" fontId="7" fillId="0" borderId="41" xfId="0" applyFont="1" applyBorder="1" applyAlignment="1" applyProtection="1">
      <alignment horizontal="center" vertical="center"/>
    </xf>
    <xf numFmtId="0" fontId="14" fillId="0" borderId="37" xfId="0" applyFont="1" applyBorder="1" applyAlignment="1">
      <alignment vertical="center"/>
    </xf>
    <xf numFmtId="0" fontId="0" fillId="0" borderId="75" xfId="0" applyFont="1" applyBorder="1" applyAlignment="1">
      <alignment vertical="center"/>
    </xf>
    <xf numFmtId="0" fontId="0" fillId="0" borderId="76" xfId="0" applyFont="1" applyBorder="1" applyAlignment="1">
      <alignment vertical="center"/>
    </xf>
    <xf numFmtId="0" fontId="0" fillId="0" borderId="77" xfId="0" applyFont="1" applyBorder="1" applyAlignment="1">
      <alignment vertical="center"/>
    </xf>
    <xf numFmtId="0" fontId="0" fillId="0" borderId="78" xfId="0" applyFont="1" applyBorder="1" applyAlignment="1">
      <alignment vertical="center"/>
    </xf>
    <xf numFmtId="0" fontId="0" fillId="0" borderId="0" xfId="0" applyAlignment="1">
      <alignment wrapText="1"/>
    </xf>
    <xf numFmtId="0" fontId="0" fillId="0" borderId="80" xfId="0" applyBorder="1"/>
    <xf numFmtId="2" fontId="0" fillId="0" borderId="76" xfId="0" applyNumberFormat="1" applyBorder="1" applyAlignment="1">
      <alignment wrapText="1"/>
    </xf>
    <xf numFmtId="0" fontId="2" fillId="0" borderId="73" xfId="0" applyFont="1" applyFill="1" applyBorder="1" applyAlignment="1">
      <alignment vertical="center"/>
    </xf>
    <xf numFmtId="2" fontId="2" fillId="0" borderId="73" xfId="0" applyNumberFormat="1" applyFont="1" applyFill="1" applyBorder="1" applyAlignment="1">
      <alignment horizontal="center" vertical="center"/>
    </xf>
    <xf numFmtId="1" fontId="2" fillId="0" borderId="73" xfId="0" applyNumberFormat="1" applyFont="1" applyFill="1" applyBorder="1" applyAlignment="1">
      <alignment horizontal="center" vertical="center"/>
    </xf>
    <xf numFmtId="0" fontId="2" fillId="0" borderId="73" xfId="0" applyFont="1" applyFill="1" applyBorder="1" applyAlignment="1">
      <alignment vertical="center" wrapText="1"/>
    </xf>
    <xf numFmtId="0" fontId="0" fillId="0" borderId="81" xfId="0" applyFont="1" applyBorder="1" applyAlignment="1">
      <alignment vertical="center"/>
    </xf>
    <xf numFmtId="0" fontId="0" fillId="0" borderId="82" xfId="0" applyFont="1" applyFill="1" applyBorder="1" applyAlignment="1">
      <alignment horizontal="center" vertical="center"/>
    </xf>
    <xf numFmtId="0" fontId="1" fillId="0" borderId="82" xfId="0" applyFont="1" applyFill="1" applyBorder="1" applyAlignment="1">
      <alignment horizontal="center" vertical="center" wrapText="1"/>
    </xf>
    <xf numFmtId="0" fontId="1" fillId="0" borderId="83" xfId="0" applyFont="1" applyFill="1" applyBorder="1" applyAlignment="1">
      <alignment horizontal="center" vertical="center" wrapText="1"/>
    </xf>
    <xf numFmtId="0" fontId="0" fillId="0" borderId="84" xfId="0" applyFont="1" applyBorder="1" applyAlignment="1">
      <alignment vertical="center"/>
    </xf>
    <xf numFmtId="2" fontId="2" fillId="0" borderId="85" xfId="0" applyNumberFormat="1" applyFont="1" applyFill="1" applyBorder="1" applyAlignment="1">
      <alignment horizontal="center" vertical="center" wrapText="1"/>
    </xf>
    <xf numFmtId="0" fontId="0" fillId="0" borderId="86" xfId="0" applyFont="1" applyBorder="1" applyAlignment="1">
      <alignment vertical="center"/>
    </xf>
    <xf numFmtId="0" fontId="2" fillId="0" borderId="87" xfId="0" applyFont="1" applyFill="1" applyBorder="1" applyAlignment="1">
      <alignment vertical="center"/>
    </xf>
    <xf numFmtId="2" fontId="2" fillId="0" borderId="87" xfId="0" applyNumberFormat="1" applyFont="1" applyFill="1" applyBorder="1" applyAlignment="1">
      <alignment horizontal="center" vertical="center"/>
    </xf>
    <xf numFmtId="1" fontId="2" fillId="0" borderId="87" xfId="0" applyNumberFormat="1" applyFont="1" applyFill="1" applyBorder="1" applyAlignment="1">
      <alignment horizontal="center" vertical="center"/>
    </xf>
    <xf numFmtId="0" fontId="0" fillId="0" borderId="87" xfId="0" applyFont="1" applyFill="1" applyBorder="1" applyAlignment="1">
      <alignment horizontal="center" vertical="center"/>
    </xf>
    <xf numFmtId="0" fontId="0" fillId="0" borderId="88" xfId="0" applyFont="1" applyFill="1" applyBorder="1" applyAlignment="1">
      <alignment horizontal="center" vertical="center"/>
    </xf>
    <xf numFmtId="0" fontId="0" fillId="0" borderId="85" xfId="0" applyFont="1" applyBorder="1" applyAlignment="1">
      <alignment horizontal="center" vertical="center"/>
    </xf>
    <xf numFmtId="0" fontId="0" fillId="0" borderId="84" xfId="0" applyFont="1" applyBorder="1" applyAlignment="1">
      <alignment vertical="center" wrapText="1"/>
    </xf>
    <xf numFmtId="0" fontId="0" fillId="0" borderId="88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 wrapText="1"/>
    </xf>
    <xf numFmtId="0" fontId="0" fillId="0" borderId="0" xfId="0" applyFont="1" applyBorder="1" applyAlignment="1">
      <alignment vertical="center" wrapText="1"/>
    </xf>
    <xf numFmtId="0" fontId="0" fillId="0" borderId="74" xfId="0" applyFont="1" applyBorder="1" applyAlignment="1">
      <alignment horizontal="center" vertical="center" wrapText="1"/>
    </xf>
    <xf numFmtId="0" fontId="0" fillId="0" borderId="75" xfId="0" applyFont="1" applyBorder="1" applyAlignment="1">
      <alignment horizontal="center" vertical="center"/>
    </xf>
    <xf numFmtId="0" fontId="0" fillId="0" borderId="76" xfId="0" applyFont="1" applyBorder="1" applyAlignment="1">
      <alignment horizontal="center" vertical="center"/>
    </xf>
    <xf numFmtId="0" fontId="0" fillId="0" borderId="0" xfId="0" applyBorder="1" applyAlignment="1"/>
    <xf numFmtId="0" fontId="19" fillId="5" borderId="0" xfId="5"/>
    <xf numFmtId="0" fontId="19" fillId="5" borderId="0" xfId="5" applyBorder="1" applyAlignment="1">
      <alignment horizontal="center"/>
    </xf>
    <xf numFmtId="0" fontId="19" fillId="5" borderId="0" xfId="5" applyBorder="1"/>
    <xf numFmtId="0" fontId="7" fillId="0" borderId="89" xfId="0" applyFont="1" applyBorder="1" applyAlignment="1" applyProtection="1">
      <alignment horizontal="center" vertical="center"/>
    </xf>
    <xf numFmtId="0" fontId="7" fillId="0" borderId="11" xfId="0" applyFont="1" applyBorder="1" applyAlignment="1" applyProtection="1">
      <alignment horizontal="center" vertical="center"/>
    </xf>
    <xf numFmtId="0" fontId="20" fillId="0" borderId="72" xfId="0" applyFont="1" applyBorder="1"/>
    <xf numFmtId="0" fontId="7" fillId="0" borderId="79" xfId="0" applyFont="1" applyBorder="1" applyAlignment="1" applyProtection="1">
      <alignment horizontal="left" vertical="center"/>
    </xf>
    <xf numFmtId="0" fontId="0" fillId="0" borderId="90" xfId="0" applyBorder="1"/>
    <xf numFmtId="0" fontId="0" fillId="0" borderId="90" xfId="0" applyBorder="1" applyAlignment="1"/>
    <xf numFmtId="0" fontId="0" fillId="0" borderId="91" xfId="0" applyBorder="1" applyAlignment="1"/>
    <xf numFmtId="0" fontId="20" fillId="0" borderId="95" xfId="0" applyFont="1" applyBorder="1"/>
    <xf numFmtId="0" fontId="0" fillId="0" borderId="90" xfId="0" applyBorder="1" applyAlignment="1">
      <alignment horizontal="right"/>
    </xf>
    <xf numFmtId="0" fontId="0" fillId="0" borderId="91" xfId="0" applyBorder="1" applyAlignment="1">
      <alignment horizontal="right"/>
    </xf>
    <xf numFmtId="0" fontId="20" fillId="0" borderId="97" xfId="0" applyFont="1" applyBorder="1"/>
    <xf numFmtId="0" fontId="20" fillId="0" borderId="98" xfId="0" applyFont="1" applyBorder="1"/>
    <xf numFmtId="0" fontId="20" fillId="0" borderId="98" xfId="0" applyFont="1" applyBorder="1" applyAlignment="1"/>
    <xf numFmtId="0" fontId="20" fillId="0" borderId="99" xfId="0" applyFont="1" applyBorder="1" applyAlignment="1"/>
    <xf numFmtId="0" fontId="9" fillId="0" borderId="97" xfId="0" applyFont="1" applyFill="1" applyBorder="1" applyAlignment="1" applyProtection="1">
      <alignment horizontal="left" vertical="center"/>
    </xf>
    <xf numFmtId="0" fontId="20" fillId="0" borderId="99" xfId="0" applyFont="1" applyBorder="1"/>
    <xf numFmtId="0" fontId="20" fillId="0" borderId="101" xfId="0" applyFont="1" applyBorder="1"/>
    <xf numFmtId="0" fontId="20" fillId="0" borderId="97" xfId="0" applyFont="1" applyBorder="1" applyAlignment="1"/>
    <xf numFmtId="0" fontId="17" fillId="3" borderId="38" xfId="2" applyBorder="1" applyAlignment="1">
      <alignment horizontal="center" vertical="center" wrapText="1"/>
    </xf>
    <xf numFmtId="0" fontId="17" fillId="3" borderId="55" xfId="2" applyBorder="1" applyAlignment="1">
      <alignment horizontal="center" vertical="center" wrapText="1"/>
    </xf>
    <xf numFmtId="0" fontId="17" fillId="3" borderId="70" xfId="2" applyBorder="1" applyAlignment="1">
      <alignment horizontal="center" vertical="center" wrapText="1"/>
    </xf>
    <xf numFmtId="1" fontId="18" fillId="0" borderId="34" xfId="4" applyNumberFormat="1" applyBorder="1" applyAlignment="1">
      <alignment horizontal="center" vertical="center"/>
    </xf>
    <xf numFmtId="1" fontId="23" fillId="6" borderId="93" xfId="6" applyNumberFormat="1" applyBorder="1"/>
    <xf numFmtId="1" fontId="23" fillId="6" borderId="94" xfId="6" applyNumberFormat="1" applyBorder="1"/>
    <xf numFmtId="1" fontId="23" fillId="6" borderId="94" xfId="6" applyNumberFormat="1" applyBorder="1" applyAlignment="1"/>
    <xf numFmtId="16" fontId="24" fillId="0" borderId="34" xfId="4" applyNumberFormat="1" applyFont="1" applyBorder="1" applyAlignment="1">
      <alignment horizontal="center"/>
    </xf>
    <xf numFmtId="0" fontId="18" fillId="0" borderId="34" xfId="4" applyNumberFormat="1" applyBorder="1" applyAlignment="1">
      <alignment horizontal="center"/>
    </xf>
    <xf numFmtId="16" fontId="18" fillId="0" borderId="34" xfId="4" applyNumberFormat="1" applyBorder="1" applyAlignment="1">
      <alignment horizontal="center"/>
    </xf>
    <xf numFmtId="49" fontId="24" fillId="0" borderId="34" xfId="4" applyNumberFormat="1" applyFont="1" applyBorder="1" applyAlignment="1">
      <alignment horizontal="center"/>
    </xf>
    <xf numFmtId="49" fontId="18" fillId="0" borderId="34" xfId="4" applyNumberFormat="1" applyBorder="1" applyAlignment="1">
      <alignment horizontal="center"/>
    </xf>
    <xf numFmtId="0" fontId="18" fillId="0" borderId="17" xfId="4" applyBorder="1" applyAlignment="1">
      <alignment horizontal="center"/>
    </xf>
    <xf numFmtId="0" fontId="18" fillId="0" borderId="18" xfId="4" applyNumberFormat="1" applyBorder="1" applyAlignment="1">
      <alignment horizontal="center"/>
    </xf>
    <xf numFmtId="0" fontId="18" fillId="0" borderId="18" xfId="4" applyBorder="1" applyAlignment="1">
      <alignment horizontal="center"/>
    </xf>
    <xf numFmtId="0" fontId="18" fillId="0" borderId="19" xfId="4" applyBorder="1" applyAlignment="1">
      <alignment horizontal="center"/>
    </xf>
    <xf numFmtId="49" fontId="24" fillId="0" borderId="37" xfId="4" applyNumberFormat="1" applyFont="1" applyBorder="1" applyAlignment="1">
      <alignment horizontal="center"/>
    </xf>
    <xf numFmtId="0" fontId="18" fillId="0" borderId="20" xfId="4" applyBorder="1" applyAlignment="1">
      <alignment horizontal="center"/>
    </xf>
    <xf numFmtId="0" fontId="25" fillId="0" borderId="100" xfId="0" applyFont="1" applyBorder="1" applyAlignment="1">
      <alignment horizontal="center" vertical="center"/>
    </xf>
    <xf numFmtId="0" fontId="25" fillId="0" borderId="96" xfId="0" applyFont="1" applyBorder="1" applyAlignment="1">
      <alignment horizontal="center" vertical="center"/>
    </xf>
    <xf numFmtId="0" fontId="0" fillId="7" borderId="95" xfId="7" applyFont="1" applyBorder="1" applyAlignment="1">
      <alignment horizontal="center" vertical="center" wrapText="1"/>
    </xf>
    <xf numFmtId="0" fontId="0" fillId="7" borderId="100" xfId="7" applyFont="1" applyBorder="1" applyAlignment="1">
      <alignment horizontal="center" vertical="center" wrapText="1"/>
    </xf>
    <xf numFmtId="0" fontId="0" fillId="7" borderId="96" xfId="7" applyFont="1" applyBorder="1" applyAlignment="1">
      <alignment horizontal="center" vertical="center" wrapText="1"/>
    </xf>
    <xf numFmtId="0" fontId="7" fillId="0" borderId="0" xfId="0" applyFont="1" applyBorder="1" applyAlignment="1" applyProtection="1">
      <alignment vertical="center"/>
    </xf>
    <xf numFmtId="0" fontId="25" fillId="0" borderId="0" xfId="0" applyFont="1" applyBorder="1" applyAlignment="1">
      <alignment vertical="center"/>
    </xf>
    <xf numFmtId="0" fontId="25" fillId="0" borderId="94" xfId="0" applyFont="1" applyBorder="1" applyAlignment="1">
      <alignment horizontal="center" vertical="center"/>
    </xf>
    <xf numFmtId="0" fontId="16" fillId="2" borderId="92" xfId="1" applyBorder="1" applyAlignment="1" applyProtection="1">
      <alignment horizontal="center" vertical="center" wrapText="1"/>
    </xf>
    <xf numFmtId="0" fontId="15" fillId="10" borderId="93" xfId="10" applyBorder="1" applyAlignment="1" applyProtection="1">
      <alignment horizontal="center" vertical="center"/>
    </xf>
    <xf numFmtId="0" fontId="14" fillId="0" borderId="72" xfId="0" applyFont="1" applyBorder="1" applyAlignment="1">
      <alignment horizontal="center" vertical="center"/>
    </xf>
    <xf numFmtId="0" fontId="0" fillId="0" borderId="106" xfId="0" applyBorder="1"/>
    <xf numFmtId="0" fontId="0" fillId="0" borderId="107" xfId="0" applyBorder="1"/>
    <xf numFmtId="0" fontId="26" fillId="0" borderId="0" xfId="4" applyFont="1" applyBorder="1" applyAlignment="1">
      <alignment horizontal="center" vertical="center"/>
    </xf>
    <xf numFmtId="0" fontId="25" fillId="0" borderId="104" xfId="0" applyFont="1" applyBorder="1" applyAlignment="1">
      <alignment horizontal="center" vertical="center"/>
    </xf>
    <xf numFmtId="0" fontId="20" fillId="0" borderId="0" xfId="0" applyFont="1" applyBorder="1"/>
    <xf numFmtId="0" fontId="20" fillId="0" borderId="108" xfId="0" applyFont="1" applyBorder="1"/>
    <xf numFmtId="0" fontId="28" fillId="2" borderId="105" xfId="1" applyFont="1" applyBorder="1" applyAlignment="1" applyProtection="1">
      <alignment horizontal="center" vertical="center"/>
    </xf>
    <xf numFmtId="0" fontId="28" fillId="2" borderId="15" xfId="1" applyFont="1" applyBorder="1" applyAlignment="1" applyProtection="1">
      <alignment horizontal="center" vertical="center"/>
    </xf>
    <xf numFmtId="0" fontId="26" fillId="0" borderId="28" xfId="4" applyFont="1" applyBorder="1"/>
    <xf numFmtId="0" fontId="26" fillId="0" borderId="28" xfId="4" applyFont="1" applyBorder="1" applyAlignment="1">
      <alignment horizontal="center" vertical="center"/>
    </xf>
    <xf numFmtId="0" fontId="0" fillId="9" borderId="103" xfId="9" applyFont="1"/>
    <xf numFmtId="0" fontId="17" fillId="3" borderId="72" xfId="2" applyBorder="1" applyAlignment="1">
      <alignment horizontal="center" vertical="center" wrapText="1"/>
    </xf>
    <xf numFmtId="0" fontId="26" fillId="0" borderId="15" xfId="4" applyFont="1" applyBorder="1" applyAlignment="1">
      <alignment horizontal="center" vertical="center" wrapText="1"/>
    </xf>
    <xf numFmtId="0" fontId="26" fillId="0" borderId="36" xfId="4" applyFont="1" applyBorder="1" applyAlignment="1">
      <alignment horizontal="center" vertical="center"/>
    </xf>
    <xf numFmtId="0" fontId="26" fillId="0" borderId="16" xfId="4" applyFont="1" applyBorder="1" applyAlignment="1">
      <alignment horizontal="center" vertical="center"/>
    </xf>
    <xf numFmtId="49" fontId="24" fillId="0" borderId="18" xfId="4" applyNumberFormat="1" applyFont="1" applyBorder="1" applyAlignment="1">
      <alignment horizontal="center"/>
    </xf>
    <xf numFmtId="0" fontId="18" fillId="0" borderId="0" xfId="4" quotePrefix="1"/>
    <xf numFmtId="0" fontId="18" fillId="0" borderId="0" xfId="4" applyAlignment="1"/>
    <xf numFmtId="0" fontId="16" fillId="2" borderId="81" xfId="1" applyBorder="1" applyAlignment="1">
      <alignment horizontal="center" vertical="center" wrapText="1"/>
    </xf>
    <xf numFmtId="0" fontId="16" fillId="2" borderId="83" xfId="1" applyBorder="1" applyAlignment="1">
      <alignment horizontal="center" vertical="center" wrapText="1"/>
    </xf>
    <xf numFmtId="0" fontId="0" fillId="9" borderId="111" xfId="9" applyFont="1" applyBorder="1"/>
    <xf numFmtId="0" fontId="5" fillId="0" borderId="72" xfId="0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NumberFormat="1" applyBorder="1" applyAlignment="1" applyProtection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112" xfId="0" applyBorder="1" applyAlignment="1" applyProtection="1">
      <alignment vertical="center"/>
    </xf>
    <xf numFmtId="0" fontId="0" fillId="0" borderId="112" xfId="0" applyBorder="1" applyAlignment="1" applyProtection="1">
      <alignment horizontal="center" vertical="center"/>
    </xf>
    <xf numFmtId="0" fontId="0" fillId="0" borderId="68" xfId="0" applyNumberFormat="1" applyBorder="1" applyAlignment="1" applyProtection="1">
      <alignment horizontal="center" vertical="center"/>
    </xf>
    <xf numFmtId="0" fontId="0" fillId="0" borderId="113" xfId="0" applyBorder="1" applyAlignment="1" applyProtection="1">
      <alignment horizontal="center" vertical="center"/>
    </xf>
    <xf numFmtId="0" fontId="0" fillId="0" borderId="114" xfId="0" applyNumberFormat="1" applyBorder="1" applyAlignment="1" applyProtection="1">
      <alignment horizontal="center" vertical="center"/>
    </xf>
    <xf numFmtId="0" fontId="0" fillId="0" borderId="42" xfId="0" applyBorder="1" applyAlignment="1" applyProtection="1">
      <alignment vertical="center"/>
    </xf>
    <xf numFmtId="0" fontId="0" fillId="0" borderId="43" xfId="0" applyBorder="1" applyAlignment="1" applyProtection="1">
      <alignment vertical="center"/>
    </xf>
    <xf numFmtId="0" fontId="0" fillId="0" borderId="43" xfId="0" applyBorder="1" applyAlignment="1" applyProtection="1">
      <alignment horizontal="center" vertical="center"/>
    </xf>
    <xf numFmtId="0" fontId="0" fillId="0" borderId="44" xfId="0" applyNumberFormat="1" applyBorder="1" applyAlignment="1" applyProtection="1">
      <alignment horizontal="center" vertical="center"/>
    </xf>
    <xf numFmtId="0" fontId="0" fillId="0" borderId="108" xfId="0" applyFill="1" applyBorder="1" applyAlignment="1">
      <alignment vertical="center"/>
    </xf>
    <xf numFmtId="0" fontId="0" fillId="0" borderId="115" xfId="0" applyFill="1" applyBorder="1" applyAlignment="1">
      <alignment vertical="center"/>
    </xf>
    <xf numFmtId="0" fontId="5" fillId="0" borderId="24" xfId="0" applyFont="1" applyBorder="1" applyAlignment="1" applyProtection="1">
      <alignment horizontal="center" vertical="center"/>
    </xf>
    <xf numFmtId="0" fontId="0" fillId="0" borderId="54" xfId="0" applyFill="1" applyBorder="1" applyAlignment="1">
      <alignment horizontal="center" vertical="center"/>
    </xf>
    <xf numFmtId="0" fontId="0" fillId="0" borderId="69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30" xfId="0" applyBorder="1" applyAlignment="1" applyProtection="1">
      <alignment horizontal="center" vertical="center"/>
    </xf>
    <xf numFmtId="0" fontId="18" fillId="0" borderId="0" xfId="4" applyNumberFormat="1" applyFill="1" applyProtection="1">
      <protection locked="0"/>
    </xf>
    <xf numFmtId="0" fontId="0" fillId="0" borderId="0" xfId="0" applyNumberFormat="1" applyFill="1" applyAlignment="1" applyProtection="1">
      <alignment vertical="center"/>
      <protection locked="0"/>
    </xf>
    <xf numFmtId="0" fontId="0" fillId="4" borderId="15" xfId="3" applyFont="1" applyBorder="1" applyAlignment="1">
      <alignment horizontal="center" vertical="center"/>
    </xf>
    <xf numFmtId="0" fontId="0" fillId="4" borderId="79" xfId="3" applyFont="1" applyBorder="1" applyAlignment="1">
      <alignment horizontal="center" vertical="center"/>
    </xf>
    <xf numFmtId="2" fontId="0" fillId="0" borderId="0" xfId="0" applyNumberFormat="1" applyBorder="1" applyAlignment="1">
      <alignment wrapText="1"/>
    </xf>
    <xf numFmtId="0" fontId="15" fillId="0" borderId="0" xfId="3" applyFill="1" applyBorder="1" applyAlignment="1">
      <alignment horizontal="center" vertical="center" wrapText="1"/>
    </xf>
    <xf numFmtId="0" fontId="27" fillId="8" borderId="116" xfId="8" applyBorder="1" applyAlignment="1" applyProtection="1">
      <alignment vertical="center"/>
    </xf>
    <xf numFmtId="0" fontId="27" fillId="8" borderId="117" xfId="8" applyBorder="1" applyAlignment="1" applyProtection="1">
      <alignment vertical="center"/>
    </xf>
    <xf numFmtId="0" fontId="27" fillId="8" borderId="95" xfId="8" applyBorder="1" applyAlignment="1" applyProtection="1">
      <alignment vertical="center"/>
    </xf>
    <xf numFmtId="0" fontId="3" fillId="0" borderId="70" xfId="0" applyFont="1" applyBorder="1" applyAlignment="1" applyProtection="1">
      <alignment vertical="center"/>
    </xf>
    <xf numFmtId="0" fontId="0" fillId="4" borderId="74" xfId="3" applyFont="1" applyBorder="1" applyAlignment="1">
      <alignment horizontal="center" vertical="center" wrapText="1"/>
    </xf>
    <xf numFmtId="0" fontId="0" fillId="0" borderId="27" xfId="0" applyBorder="1"/>
    <xf numFmtId="0" fontId="0" fillId="0" borderId="121" xfId="0" applyFont="1" applyBorder="1" applyAlignment="1">
      <alignment vertical="center"/>
    </xf>
    <xf numFmtId="0" fontId="0" fillId="0" borderId="38" xfId="0" applyBorder="1"/>
    <xf numFmtId="0" fontId="20" fillId="0" borderId="125" xfId="0" applyFont="1" applyBorder="1"/>
    <xf numFmtId="0" fontId="20" fillId="0" borderId="126" xfId="0" applyFont="1" applyBorder="1"/>
    <xf numFmtId="2" fontId="20" fillId="0" borderId="126" xfId="0" applyNumberFormat="1" applyFont="1" applyBorder="1"/>
    <xf numFmtId="2" fontId="20" fillId="0" borderId="127" xfId="0" applyNumberFormat="1" applyFont="1" applyBorder="1"/>
    <xf numFmtId="0" fontId="5" fillId="0" borderId="24" xfId="0" applyFont="1" applyBorder="1" applyAlignment="1" applyProtection="1">
      <alignment horizontal="center" vertical="center"/>
    </xf>
    <xf numFmtId="0" fontId="14" fillId="0" borderId="129" xfId="0" applyFont="1" applyBorder="1" applyAlignment="1">
      <alignment vertical="center"/>
    </xf>
    <xf numFmtId="0" fontId="14" fillId="0" borderId="17" xfId="0" applyFont="1" applyBorder="1" applyAlignment="1">
      <alignment vertical="center"/>
    </xf>
    <xf numFmtId="0" fontId="14" fillId="0" borderId="17" xfId="0" applyFont="1" applyBorder="1" applyAlignment="1">
      <alignment vertical="center" wrapText="1"/>
    </xf>
    <xf numFmtId="0" fontId="14" fillId="0" borderId="19" xfId="0" applyFont="1" applyBorder="1" applyAlignment="1">
      <alignment vertical="center"/>
    </xf>
    <xf numFmtId="2" fontId="4" fillId="0" borderId="55" xfId="0" applyNumberFormat="1" applyFont="1" applyBorder="1" applyAlignment="1" applyProtection="1">
      <alignment horizontal="right" vertical="center"/>
    </xf>
    <xf numFmtId="0" fontId="20" fillId="0" borderId="32" xfId="0" applyFont="1" applyBorder="1" applyAlignment="1" applyProtection="1">
      <alignment vertical="center"/>
    </xf>
    <xf numFmtId="0" fontId="7" fillId="0" borderId="130" xfId="0" applyFont="1" applyBorder="1" applyAlignment="1" applyProtection="1">
      <alignment horizontal="center" vertical="center"/>
    </xf>
    <xf numFmtId="0" fontId="0" fillId="0" borderId="131" xfId="0" applyBorder="1" applyAlignment="1">
      <alignment vertical="center"/>
    </xf>
    <xf numFmtId="0" fontId="0" fillId="0" borderId="132" xfId="0" applyBorder="1" applyAlignment="1">
      <alignment vertical="center"/>
    </xf>
    <xf numFmtId="0" fontId="0" fillId="0" borderId="133" xfId="0" applyBorder="1" applyAlignment="1">
      <alignment vertical="center"/>
    </xf>
    <xf numFmtId="0" fontId="6" fillId="0" borderId="0" xfId="0" applyFont="1" applyBorder="1" applyAlignment="1" applyProtection="1">
      <alignment horizontal="center" vertical="center" shrinkToFit="1"/>
    </xf>
    <xf numFmtId="0" fontId="0" fillId="0" borderId="134" xfId="0" applyBorder="1" applyAlignment="1">
      <alignment vertical="center"/>
    </xf>
    <xf numFmtId="0" fontId="0" fillId="0" borderId="132" xfId="0" applyBorder="1" applyAlignment="1" applyProtection="1">
      <alignment vertical="center"/>
    </xf>
    <xf numFmtId="0" fontId="0" fillId="0" borderId="137" xfId="0" applyBorder="1" applyAlignment="1" applyProtection="1">
      <alignment vertical="center"/>
    </xf>
    <xf numFmtId="0" fontId="0" fillId="0" borderId="138" xfId="0" applyBorder="1" applyAlignment="1" applyProtection="1">
      <alignment vertical="center"/>
    </xf>
    <xf numFmtId="0" fontId="9" fillId="0" borderId="130" xfId="0" applyFont="1" applyBorder="1" applyAlignment="1" applyProtection="1">
      <alignment horizontal="center" vertical="center"/>
    </xf>
    <xf numFmtId="2" fontId="0" fillId="0" borderId="0" xfId="0" applyNumberFormat="1" applyAlignment="1" applyProtection="1">
      <alignment vertical="center"/>
    </xf>
    <xf numFmtId="2" fontId="3" fillId="0" borderId="29" xfId="0" applyNumberFormat="1" applyFont="1" applyBorder="1" applyAlignment="1" applyProtection="1">
      <alignment horizontal="center" vertical="center" shrinkToFit="1"/>
    </xf>
    <xf numFmtId="0" fontId="3" fillId="0" borderId="4" xfId="0" applyFont="1" applyBorder="1" applyAlignment="1" applyProtection="1">
      <alignment horizontal="center" vertical="center" shrinkToFit="1"/>
    </xf>
    <xf numFmtId="0" fontId="3" fillId="0" borderId="26" xfId="0" applyFont="1" applyBorder="1" applyAlignment="1" applyProtection="1">
      <alignment horizontal="center" vertical="center" shrinkToFit="1"/>
    </xf>
    <xf numFmtId="0" fontId="24" fillId="0" borderId="34" xfId="4" applyNumberFormat="1" applyFont="1" applyBorder="1" applyAlignment="1">
      <alignment horizontal="center"/>
    </xf>
    <xf numFmtId="0" fontId="7" fillId="0" borderId="140" xfId="0" applyFont="1" applyBorder="1" applyAlignment="1" applyProtection="1">
      <alignment horizontal="center" vertical="center"/>
    </xf>
    <xf numFmtId="0" fontId="20" fillId="0" borderId="92" xfId="0" applyFont="1" applyBorder="1" applyAlignment="1">
      <alignment wrapText="1"/>
    </xf>
    <xf numFmtId="0" fontId="0" fillId="0" borderId="27" xfId="0" applyBorder="1" applyAlignment="1" applyProtection="1">
      <alignment horizontal="center" vertical="center"/>
    </xf>
    <xf numFmtId="0" fontId="0" fillId="0" borderId="34" xfId="0" applyBorder="1" applyAlignment="1" applyProtection="1">
      <alignment vertical="center"/>
    </xf>
    <xf numFmtId="49" fontId="0" fillId="0" borderId="34" xfId="0" applyNumberFormat="1" applyBorder="1" applyAlignment="1" applyProtection="1">
      <alignment horizontal="center" vertical="center"/>
    </xf>
    <xf numFmtId="0" fontId="3" fillId="0" borderId="30" xfId="0" applyFont="1" applyBorder="1" applyAlignment="1" applyProtection="1">
      <alignment vertical="center"/>
    </xf>
    <xf numFmtId="0" fontId="24" fillId="0" borderId="0" xfId="4" applyFont="1"/>
    <xf numFmtId="0" fontId="20" fillId="0" borderId="130" xfId="0" applyFont="1" applyBorder="1" applyAlignment="1" applyProtection="1">
      <alignment horizontal="center" vertical="center"/>
    </xf>
    <xf numFmtId="0" fontId="20" fillId="0" borderId="12" xfId="0" applyFont="1" applyBorder="1" applyAlignment="1" applyProtection="1">
      <alignment horizontal="center" vertical="center"/>
    </xf>
    <xf numFmtId="0" fontId="20" fillId="0" borderId="13" xfId="0" applyFont="1" applyBorder="1" applyAlignment="1" applyProtection="1">
      <alignment horizontal="center" vertical="center"/>
    </xf>
    <xf numFmtId="2" fontId="18" fillId="0" borderId="0" xfId="4" applyNumberFormat="1"/>
    <xf numFmtId="2" fontId="4" fillId="0" borderId="1" xfId="0" applyNumberFormat="1" applyFont="1" applyBorder="1" applyAlignment="1" applyProtection="1">
      <alignment horizontal="right" vertical="center"/>
    </xf>
    <xf numFmtId="2" fontId="0" fillId="0" borderId="131" xfId="0" applyNumberFormat="1" applyBorder="1" applyAlignment="1">
      <alignment horizontal="center" vertical="center"/>
    </xf>
    <xf numFmtId="0" fontId="20" fillId="0" borderId="32" xfId="0" applyFont="1" applyBorder="1" applyAlignment="1" applyProtection="1">
      <alignment horizontal="center" vertical="center" wrapText="1"/>
    </xf>
    <xf numFmtId="0" fontId="20" fillId="0" borderId="32" xfId="0" applyFont="1" applyBorder="1" applyAlignment="1" applyProtection="1">
      <alignment horizontal="center" vertical="center"/>
    </xf>
    <xf numFmtId="0" fontId="20" fillId="0" borderId="96" xfId="0" applyFont="1" applyBorder="1" applyAlignment="1" applyProtection="1">
      <alignment horizontal="center" vertical="center"/>
    </xf>
    <xf numFmtId="0" fontId="20" fillId="0" borderId="16" xfId="0" applyFont="1" applyBorder="1" applyAlignment="1" applyProtection="1">
      <alignment horizontal="center" vertical="center"/>
    </xf>
    <xf numFmtId="0" fontId="20" fillId="0" borderId="20" xfId="0" applyFont="1" applyBorder="1" applyAlignment="1" applyProtection="1">
      <alignment horizontal="center" vertical="center"/>
    </xf>
    <xf numFmtId="0" fontId="17" fillId="3" borderId="0" xfId="2" applyBorder="1" applyAlignment="1" applyProtection="1">
      <alignment vertical="center"/>
    </xf>
    <xf numFmtId="0" fontId="17" fillId="3" borderId="0" xfId="2" applyAlignment="1" applyProtection="1">
      <alignment vertical="center"/>
    </xf>
    <xf numFmtId="2" fontId="0" fillId="0" borderId="138" xfId="0" applyNumberFormat="1" applyBorder="1" applyAlignment="1" applyProtection="1">
      <alignment vertical="center"/>
    </xf>
    <xf numFmtId="2" fontId="0" fillId="0" borderId="139" xfId="0" applyNumberFormat="1" applyBorder="1" applyAlignment="1" applyProtection="1">
      <alignment vertical="center"/>
    </xf>
    <xf numFmtId="2" fontId="0" fillId="0" borderId="135" xfId="0" applyNumberFormat="1" applyBorder="1" applyAlignment="1">
      <alignment vertical="center"/>
    </xf>
    <xf numFmtId="2" fontId="4" fillId="0" borderId="141" xfId="0" applyNumberFormat="1" applyFont="1" applyBorder="1" applyAlignment="1" applyProtection="1">
      <alignment horizontal="right" vertical="center"/>
    </xf>
    <xf numFmtId="2" fontId="0" fillId="0" borderId="136" xfId="0" applyNumberFormat="1" applyBorder="1" applyAlignment="1" applyProtection="1">
      <alignment vertical="center"/>
    </xf>
    <xf numFmtId="49" fontId="20" fillId="0" borderId="34" xfId="0" applyNumberFormat="1" applyFont="1" applyBorder="1" applyAlignment="1" applyProtection="1">
      <alignment horizontal="center" vertical="center"/>
    </xf>
    <xf numFmtId="2" fontId="0" fillId="0" borderId="34" xfId="0" applyNumberFormat="1" applyBorder="1" applyAlignment="1" applyProtection="1">
      <alignment vertical="center"/>
    </xf>
    <xf numFmtId="2" fontId="3" fillId="0" borderId="4" xfId="0" applyNumberFormat="1" applyFont="1" applyBorder="1" applyAlignment="1" applyProtection="1">
      <alignment horizontal="center" vertical="center" shrinkToFit="1"/>
    </xf>
    <xf numFmtId="0" fontId="9" fillId="0" borderId="21" xfId="0" applyFont="1" applyBorder="1" applyAlignment="1" applyProtection="1">
      <alignment horizontal="center" vertical="center"/>
    </xf>
    <xf numFmtId="0" fontId="9" fillId="0" borderId="33" xfId="0" applyFont="1" applyBorder="1" applyAlignment="1" applyProtection="1">
      <alignment horizontal="center" vertical="center"/>
    </xf>
    <xf numFmtId="0" fontId="9" fillId="0" borderId="22" xfId="0" applyFont="1" applyBorder="1" applyAlignment="1" applyProtection="1">
      <alignment horizontal="center" vertical="center"/>
    </xf>
    <xf numFmtId="0" fontId="5" fillId="0" borderId="25" xfId="0" applyFont="1" applyBorder="1" applyAlignment="1" applyProtection="1">
      <alignment horizontal="center" vertical="center"/>
    </xf>
    <xf numFmtId="0" fontId="5" fillId="0" borderId="24" xfId="0" applyFont="1" applyBorder="1" applyAlignment="1" applyProtection="1">
      <alignment horizontal="center" vertical="center"/>
    </xf>
    <xf numFmtId="0" fontId="0" fillId="0" borderId="27" xfId="0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28" xfId="0" applyBorder="1" applyAlignment="1" applyProtection="1">
      <alignment horizontal="center" vertical="center"/>
    </xf>
    <xf numFmtId="0" fontId="0" fillId="0" borderId="12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28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71" xfId="0" applyBorder="1" applyAlignment="1">
      <alignment horizontal="center"/>
    </xf>
    <xf numFmtId="0" fontId="27" fillId="8" borderId="109" xfId="8" applyBorder="1" applyAlignment="1" applyProtection="1">
      <alignment horizontal="center" vertical="center"/>
    </xf>
    <xf numFmtId="0" fontId="27" fillId="8" borderId="110" xfId="8" applyBorder="1" applyAlignment="1" applyProtection="1">
      <alignment horizontal="center" vertical="center"/>
    </xf>
    <xf numFmtId="0" fontId="22" fillId="0" borderId="24" xfId="0" applyFont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0" xfId="0" applyBorder="1" applyAlignment="1">
      <alignment horizontal="center"/>
    </xf>
    <xf numFmtId="0" fontId="22" fillId="0" borderId="0" xfId="0" applyFont="1" applyAlignment="1">
      <alignment horizontal="center"/>
    </xf>
    <xf numFmtId="0" fontId="20" fillId="0" borderId="118" xfId="0" applyFont="1" applyBorder="1" applyAlignment="1">
      <alignment horizontal="center"/>
    </xf>
    <xf numFmtId="0" fontId="20" fillId="0" borderId="119" xfId="0" applyFont="1" applyBorder="1" applyAlignment="1">
      <alignment horizontal="center"/>
    </xf>
    <xf numFmtId="0" fontId="20" fillId="0" borderId="120" xfId="0" applyFont="1" applyBorder="1" applyAlignment="1">
      <alignment horizontal="center"/>
    </xf>
    <xf numFmtId="0" fontId="20" fillId="0" borderId="93" xfId="0" applyFont="1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69" xfId="0" applyBorder="1" applyAlignment="1">
      <alignment horizontal="center"/>
    </xf>
    <xf numFmtId="0" fontId="17" fillId="3" borderId="34" xfId="2" applyBorder="1" applyAlignment="1">
      <alignment horizontal="center" vertical="center"/>
    </xf>
    <xf numFmtId="0" fontId="17" fillId="3" borderId="34" xfId="2" applyBorder="1" applyAlignment="1">
      <alignment horizontal="center" vertical="center" wrapText="1"/>
    </xf>
    <xf numFmtId="0" fontId="17" fillId="3" borderId="38" xfId="2" applyBorder="1" applyAlignment="1">
      <alignment horizontal="center" vertical="center" wrapText="1"/>
    </xf>
    <xf numFmtId="0" fontId="17" fillId="3" borderId="55" xfId="2" applyBorder="1" applyAlignment="1">
      <alignment horizontal="center" vertical="center" wrapText="1"/>
    </xf>
    <xf numFmtId="0" fontId="17" fillId="3" borderId="70" xfId="2" applyBorder="1" applyAlignment="1">
      <alignment horizontal="center" vertical="center" wrapText="1"/>
    </xf>
    <xf numFmtId="0" fontId="0" fillId="0" borderId="39" xfId="0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122" xfId="0" applyFont="1" applyBorder="1" applyAlignment="1">
      <alignment horizontal="center" vertical="center"/>
    </xf>
    <xf numFmtId="0" fontId="0" fillId="0" borderId="123" xfId="0" applyFont="1" applyBorder="1" applyAlignment="1">
      <alignment horizontal="center" vertical="center"/>
    </xf>
    <xf numFmtId="0" fontId="0" fillId="0" borderId="137" xfId="0" applyBorder="1" applyAlignment="1">
      <alignment vertical="center"/>
    </xf>
    <xf numFmtId="2" fontId="0" fillId="0" borderId="143" xfId="0" applyNumberFormat="1" applyBorder="1" applyAlignment="1">
      <alignment vertical="center"/>
    </xf>
    <xf numFmtId="2" fontId="0" fillId="0" borderId="142" xfId="0" applyNumberFormat="1" applyBorder="1" applyAlignment="1" applyProtection="1">
      <alignment vertical="center"/>
    </xf>
    <xf numFmtId="0" fontId="30" fillId="11" borderId="102" xfId="11" applyFont="1" applyAlignment="1">
      <alignment horizontal="center"/>
    </xf>
    <xf numFmtId="164" fontId="30" fillId="11" borderId="102" xfId="11" applyNumberFormat="1" applyFont="1" applyAlignment="1" applyProtection="1">
      <alignment horizontal="center"/>
    </xf>
  </cellXfs>
  <cellStyles count="12">
    <cellStyle name="20% - Accent5" xfId="7" builtinId="46"/>
    <cellStyle name="40% - Accent2" xfId="3" builtinId="35"/>
    <cellStyle name="40% - Accent3" xfId="10" builtinId="39"/>
    <cellStyle name="Accent3" xfId="5" builtinId="37"/>
    <cellStyle name="Bad" xfId="2" builtinId="27"/>
    <cellStyle name="Calculation" xfId="8" builtinId="22"/>
    <cellStyle name="Good" xfId="1" builtinId="26"/>
    <cellStyle name="Input" xfId="11" builtinId="20"/>
    <cellStyle name="Neutral" xfId="6" builtinId="28"/>
    <cellStyle name="Normal" xfId="0" builtinId="0"/>
    <cellStyle name="Normal 2" xfId="4"/>
    <cellStyle name="Note" xfId="9" builtinId="1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1E1E1"/>
      <rgbColor rgb="00CCFFFF"/>
      <rgbColor rgb="00660066"/>
      <rgbColor rgb="00FF8080"/>
      <rgbColor rgb="000066CC"/>
      <rgbColor rgb="00EAEBA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BDBDB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Diamètre intérieur minimal d'alimentation 
en fonction du nombre d'appareils 
(installation individuelle)</a:t>
            </a:r>
          </a:p>
        </c:rich>
      </c:tx>
      <c:layout>
        <c:manualLayout>
          <c:xMode val="edge"/>
          <c:yMode val="edge"/>
          <c:x val="0.21350364963503649"/>
          <c:y val="3.359181603232001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7518248175182483"/>
          <c:y val="0.29199040089632011"/>
          <c:w val="0.78102189781021902"/>
          <c:h val="0.50646122633344015"/>
        </c:manualLayout>
      </c:layout>
      <c:scatterChart>
        <c:scatterStyle val="smoothMarker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trendline>
            <c:trendlineType val="power"/>
            <c:dispRSqr val="0"/>
            <c:dispEq val="1"/>
            <c:trendlineLbl>
              <c:layout>
                <c:manualLayout>
                  <c:x val="-2.8211774623062628E-2"/>
                  <c:y val="-9.8592027141645458E-2"/>
                </c:manualLayout>
              </c:layout>
              <c:numFmt formatCode="General" sourceLinked="0"/>
            </c:trendlineLbl>
          </c:trendline>
          <c:xVal>
            <c:numRef>
              <c:f>Plomberie!$H$3:$H$29</c:f>
              <c:numCache>
                <c:formatCode>General</c:formatCode>
                <c:ptCount val="27"/>
                <c:pt idx="0">
                  <c:v>2</c:v>
                </c:pt>
                <c:pt idx="1">
                  <c:v>2.5</c:v>
                </c:pt>
                <c:pt idx="2">
                  <c:v>3</c:v>
                </c:pt>
                <c:pt idx="3">
                  <c:v>3.5</c:v>
                </c:pt>
                <c:pt idx="4">
                  <c:v>4</c:v>
                </c:pt>
                <c:pt idx="5">
                  <c:v>4.5</c:v>
                </c:pt>
                <c:pt idx="6">
                  <c:v>5</c:v>
                </c:pt>
                <c:pt idx="7">
                  <c:v>5.5</c:v>
                </c:pt>
                <c:pt idx="8">
                  <c:v>6</c:v>
                </c:pt>
                <c:pt idx="9">
                  <c:v>6.5</c:v>
                </c:pt>
                <c:pt idx="10">
                  <c:v>7</c:v>
                </c:pt>
                <c:pt idx="11">
                  <c:v>7.5</c:v>
                </c:pt>
                <c:pt idx="12">
                  <c:v>8</c:v>
                </c:pt>
                <c:pt idx="13">
                  <c:v>8.5</c:v>
                </c:pt>
                <c:pt idx="14">
                  <c:v>9</c:v>
                </c:pt>
                <c:pt idx="15">
                  <c:v>9.5</c:v>
                </c:pt>
                <c:pt idx="16">
                  <c:v>10</c:v>
                </c:pt>
                <c:pt idx="17">
                  <c:v>10.5</c:v>
                </c:pt>
                <c:pt idx="18">
                  <c:v>11</c:v>
                </c:pt>
                <c:pt idx="19">
                  <c:v>11.5</c:v>
                </c:pt>
                <c:pt idx="20">
                  <c:v>12</c:v>
                </c:pt>
                <c:pt idx="21">
                  <c:v>12.5</c:v>
                </c:pt>
                <c:pt idx="22">
                  <c:v>13</c:v>
                </c:pt>
                <c:pt idx="23">
                  <c:v>13.5</c:v>
                </c:pt>
                <c:pt idx="24">
                  <c:v>14</c:v>
                </c:pt>
                <c:pt idx="25">
                  <c:v>14.5</c:v>
                </c:pt>
                <c:pt idx="26">
                  <c:v>15</c:v>
                </c:pt>
              </c:numCache>
            </c:numRef>
          </c:xVal>
          <c:yVal>
            <c:numRef>
              <c:f>Plomberie!$I$3:$I$29</c:f>
              <c:numCache>
                <c:formatCode>General</c:formatCode>
                <c:ptCount val="27"/>
                <c:pt idx="0">
                  <c:v>11</c:v>
                </c:pt>
                <c:pt idx="1">
                  <c:v>11.7</c:v>
                </c:pt>
                <c:pt idx="2">
                  <c:v>12.3</c:v>
                </c:pt>
                <c:pt idx="3">
                  <c:v>12.9</c:v>
                </c:pt>
                <c:pt idx="4">
                  <c:v>13.5</c:v>
                </c:pt>
                <c:pt idx="5">
                  <c:v>14</c:v>
                </c:pt>
                <c:pt idx="6">
                  <c:v>14.5</c:v>
                </c:pt>
                <c:pt idx="7">
                  <c:v>15</c:v>
                </c:pt>
                <c:pt idx="8">
                  <c:v>15.4</c:v>
                </c:pt>
                <c:pt idx="9">
                  <c:v>15.8</c:v>
                </c:pt>
                <c:pt idx="10">
                  <c:v>16.2</c:v>
                </c:pt>
                <c:pt idx="11">
                  <c:v>16.55</c:v>
                </c:pt>
                <c:pt idx="12">
                  <c:v>16.899999999999999</c:v>
                </c:pt>
                <c:pt idx="13">
                  <c:v>17.2</c:v>
                </c:pt>
                <c:pt idx="14">
                  <c:v>17.5</c:v>
                </c:pt>
                <c:pt idx="15">
                  <c:v>17.75</c:v>
                </c:pt>
                <c:pt idx="16">
                  <c:v>18</c:v>
                </c:pt>
                <c:pt idx="17">
                  <c:v>18.25</c:v>
                </c:pt>
                <c:pt idx="18">
                  <c:v>18.5</c:v>
                </c:pt>
                <c:pt idx="19">
                  <c:v>18.75</c:v>
                </c:pt>
                <c:pt idx="20">
                  <c:v>19</c:v>
                </c:pt>
                <c:pt idx="21">
                  <c:v>19.25</c:v>
                </c:pt>
                <c:pt idx="22">
                  <c:v>19.5</c:v>
                </c:pt>
                <c:pt idx="23">
                  <c:v>19.75</c:v>
                </c:pt>
                <c:pt idx="24">
                  <c:v>20</c:v>
                </c:pt>
                <c:pt idx="25">
                  <c:v>20.100000000000001</c:v>
                </c:pt>
                <c:pt idx="26">
                  <c:v>20.2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6011400"/>
        <c:axId val="216012184"/>
      </c:scatterChart>
      <c:valAx>
        <c:axId val="216011400"/>
        <c:scaling>
          <c:orientation val="minMax"/>
          <c:max val="15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Somme des coefficients</a:t>
                </a:r>
              </a:p>
            </c:rich>
          </c:tx>
          <c:layout>
            <c:manualLayout>
              <c:xMode val="edge"/>
              <c:yMode val="edge"/>
              <c:x val="0.40875912408759124"/>
              <c:y val="0.88889113193216029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6012184"/>
        <c:crosses val="autoZero"/>
        <c:crossBetween val="midCat"/>
        <c:majorUnit val="1"/>
      </c:valAx>
      <c:valAx>
        <c:axId val="216012184"/>
        <c:scaling>
          <c:orientation val="minMax"/>
          <c:min val="6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Diamètre intérieur minimal [mm]</a:t>
                </a:r>
              </a:p>
            </c:rich>
          </c:tx>
          <c:layout>
            <c:manualLayout>
              <c:xMode val="edge"/>
              <c:yMode val="edge"/>
              <c:x val="2.9197080291970802E-2"/>
              <c:y val="0.3152462735340800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6011400"/>
        <c:crosses val="autoZero"/>
        <c:crossBetween val="midCat"/>
        <c:majorUnit val="2"/>
      </c:valAx>
      <c:spPr>
        <a:solidFill>
          <a:srgbClr val="FFFFCC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4921259845" footer="0.492125984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Courbe des coefficients de simultanéité (DTU 60-11)</a:t>
            </a:r>
          </a:p>
        </c:rich>
      </c:tx>
      <c:layout>
        <c:manualLayout>
          <c:xMode val="edge"/>
          <c:yMode val="edge"/>
          <c:x val="0.1367348301327628"/>
          <c:y val="5.555575649506833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7551037897638211"/>
          <c:y val="0.23703789437895825"/>
          <c:w val="0.77142934015200504"/>
          <c:h val="0.50740924265495757"/>
        </c:manualLayout>
      </c:layout>
      <c:scatterChart>
        <c:scatterStyle val="smoothMarker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Plomberie!$H$33:$H$182</c:f>
              <c:numCache>
                <c:formatCode>General</c:formatCode>
                <c:ptCount val="150"/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</c:numCache>
            </c:numRef>
          </c:xVal>
          <c:yVal>
            <c:numRef>
              <c:f>Plomberie!$I$33:$I$182</c:f>
              <c:numCache>
                <c:formatCode>General</c:formatCode>
                <c:ptCount val="150"/>
                <c:pt idx="1">
                  <c:v>0.8</c:v>
                </c:pt>
                <c:pt idx="2">
                  <c:v>0.56568542494923801</c:v>
                </c:pt>
                <c:pt idx="3">
                  <c:v>0.46188021535170065</c:v>
                </c:pt>
                <c:pt idx="4">
                  <c:v>0.4</c:v>
                </c:pt>
                <c:pt idx="5">
                  <c:v>0.35777087639996635</c:v>
                </c:pt>
                <c:pt idx="6">
                  <c:v>0.32659863237109044</c:v>
                </c:pt>
                <c:pt idx="7">
                  <c:v>0.30237157840738177</c:v>
                </c:pt>
                <c:pt idx="8">
                  <c:v>0.28284271247461901</c:v>
                </c:pt>
                <c:pt idx="9">
                  <c:v>0.26666666666666666</c:v>
                </c:pt>
                <c:pt idx="10">
                  <c:v>0.25298221281347033</c:v>
                </c:pt>
                <c:pt idx="11">
                  <c:v>0.24120907566221092</c:v>
                </c:pt>
                <c:pt idx="12">
                  <c:v>0.23094010767585033</c:v>
                </c:pt>
                <c:pt idx="13">
                  <c:v>0.22188007849009167</c:v>
                </c:pt>
                <c:pt idx="14">
                  <c:v>0.21380899352993951</c:v>
                </c:pt>
                <c:pt idx="15">
                  <c:v>0.2065591117977289</c:v>
                </c:pt>
                <c:pt idx="16">
                  <c:v>0.2</c:v>
                </c:pt>
                <c:pt idx="17">
                  <c:v>0.19402850002906638</c:v>
                </c:pt>
                <c:pt idx="18">
                  <c:v>0.1885618083164127</c:v>
                </c:pt>
                <c:pt idx="19">
                  <c:v>0.1835325870964494</c:v>
                </c:pt>
                <c:pt idx="20">
                  <c:v>0.17888543819998318</c:v>
                </c:pt>
                <c:pt idx="21">
                  <c:v>0.17457431218879393</c:v>
                </c:pt>
                <c:pt idx="22">
                  <c:v>0.17056057308448835</c:v>
                </c:pt>
                <c:pt idx="23">
                  <c:v>0.16681153124565984</c:v>
                </c:pt>
                <c:pt idx="24">
                  <c:v>0.16329931618554522</c:v>
                </c:pt>
                <c:pt idx="25">
                  <c:v>0.16</c:v>
                </c:pt>
                <c:pt idx="26">
                  <c:v>0.15689290811054724</c:v>
                </c:pt>
                <c:pt idx="27">
                  <c:v>0.1539600717839002</c:v>
                </c:pt>
                <c:pt idx="28">
                  <c:v>0.15118578920369088</c:v>
                </c:pt>
                <c:pt idx="29">
                  <c:v>0.1485562705416415</c:v>
                </c:pt>
                <c:pt idx="30">
                  <c:v>0.14605934866804429</c:v>
                </c:pt>
                <c:pt idx="31">
                  <c:v>0.14368424162141993</c:v>
                </c:pt>
                <c:pt idx="32">
                  <c:v>0.1414213562373095</c:v>
                </c:pt>
                <c:pt idx="33">
                  <c:v>0.13926212476455829</c:v>
                </c:pt>
                <c:pt idx="34">
                  <c:v>0.13719886811400708</c:v>
                </c:pt>
                <c:pt idx="35">
                  <c:v>0.13522468075656266</c:v>
                </c:pt>
                <c:pt idx="36">
                  <c:v>0.13333333333333333</c:v>
                </c:pt>
                <c:pt idx="37">
                  <c:v>0.13151918984428584</c:v>
                </c:pt>
                <c:pt idx="38">
                  <c:v>0.12977713690461004</c:v>
                </c:pt>
                <c:pt idx="39">
                  <c:v>0.12810252304406972</c:v>
                </c:pt>
                <c:pt idx="40">
                  <c:v>0.12649110640673517</c:v>
                </c:pt>
                <c:pt idx="41">
                  <c:v>0.12493900951088487</c:v>
                </c:pt>
                <c:pt idx="42">
                  <c:v>0.12344267996967354</c:v>
                </c:pt>
                <c:pt idx="43">
                  <c:v>0.12199885626608374</c:v>
                </c:pt>
                <c:pt idx="44">
                  <c:v>0.12060453783110546</c:v>
                </c:pt>
                <c:pt idx="45">
                  <c:v>0.11925695879998878</c:v>
                </c:pt>
                <c:pt idx="46">
                  <c:v>0.11795356492391772</c:v>
                </c:pt>
                <c:pt idx="47">
                  <c:v>0.11669199319831565</c:v>
                </c:pt>
                <c:pt idx="48">
                  <c:v>0.11547005383792516</c:v>
                </c:pt>
                <c:pt idx="49">
                  <c:v>0.1142857142857143</c:v>
                </c:pt>
                <c:pt idx="50">
                  <c:v>0.11313708498984761</c:v>
                </c:pt>
                <c:pt idx="51">
                  <c:v>0.11202240672224079</c:v>
                </c:pt>
                <c:pt idx="52">
                  <c:v>0.11094003924504584</c:v>
                </c:pt>
                <c:pt idx="53">
                  <c:v>0.10988845115895123</c:v>
                </c:pt>
                <c:pt idx="54">
                  <c:v>0.10886621079036347</c:v>
                </c:pt>
                <c:pt idx="55">
                  <c:v>0.10787197799411874</c:v>
                </c:pt>
                <c:pt idx="56">
                  <c:v>0.10690449676496976</c:v>
                </c:pt>
                <c:pt idx="57">
                  <c:v>0.10596258856520351</c:v>
                </c:pt>
                <c:pt idx="58">
                  <c:v>0.10504514628777804</c:v>
                </c:pt>
                <c:pt idx="59">
                  <c:v>0.10415112878465911</c:v>
                </c:pt>
                <c:pt idx="60">
                  <c:v>0.10327955589886445</c:v>
                </c:pt>
                <c:pt idx="61">
                  <c:v>0.10242950394631679</c:v>
                </c:pt>
                <c:pt idx="62">
                  <c:v>0.1016001016001524</c:v>
                </c:pt>
                <c:pt idx="63">
                  <c:v>0.10079052613579392</c:v>
                </c:pt>
                <c:pt idx="64">
                  <c:v>0.1</c:v>
                </c:pt>
                <c:pt idx="65">
                  <c:v>9.9227787671366779E-2</c:v>
                </c:pt>
                <c:pt idx="66">
                  <c:v>9.8473192783466182E-2</c:v>
                </c:pt>
                <c:pt idx="67">
                  <c:v>9.7735555485044173E-2</c:v>
                </c:pt>
                <c:pt idx="68">
                  <c:v>9.701425001453319E-2</c:v>
                </c:pt>
                <c:pt idx="69">
                  <c:v>9.6308682468615361E-2</c:v>
                </c:pt>
                <c:pt idx="70">
                  <c:v>9.561828874675149E-2</c:v>
                </c:pt>
                <c:pt idx="71">
                  <c:v>9.4942532655508269E-2</c:v>
                </c:pt>
                <c:pt idx="72">
                  <c:v>9.428090415820635E-2</c:v>
                </c:pt>
                <c:pt idx="73">
                  <c:v>9.3632917756904466E-2</c:v>
                </c:pt>
                <c:pt idx="74">
                  <c:v>9.2998110995055436E-2</c:v>
                </c:pt>
                <c:pt idx="75">
                  <c:v>9.2376043070340114E-2</c:v>
                </c:pt>
                <c:pt idx="76">
                  <c:v>9.1766293548224701E-2</c:v>
                </c:pt>
                <c:pt idx="77">
                  <c:v>9.1168461167710352E-2</c:v>
                </c:pt>
                <c:pt idx="78">
                  <c:v>9.0582162731567661E-2</c:v>
                </c:pt>
                <c:pt idx="79">
                  <c:v>9.0007032074081922E-2</c:v>
                </c:pt>
                <c:pt idx="80">
                  <c:v>8.9442719099991588E-2</c:v>
                </c:pt>
                <c:pt idx="81">
                  <c:v>8.8888888888888892E-2</c:v>
                </c:pt>
                <c:pt idx="82">
                  <c:v>8.8345220859877227E-2</c:v>
                </c:pt>
                <c:pt idx="83">
                  <c:v>8.7811407991752286E-2</c:v>
                </c:pt>
                <c:pt idx="84">
                  <c:v>8.7287156094396967E-2</c:v>
                </c:pt>
                <c:pt idx="85">
                  <c:v>8.6772183127462474E-2</c:v>
                </c:pt>
                <c:pt idx="86">
                  <c:v>8.6266218562750741E-2</c:v>
                </c:pt>
                <c:pt idx="87">
                  <c:v>8.5769002787023582E-2</c:v>
                </c:pt>
                <c:pt idx="88">
                  <c:v>8.5280286542244177E-2</c:v>
                </c:pt>
                <c:pt idx="89">
                  <c:v>8.4799830400508813E-2</c:v>
                </c:pt>
                <c:pt idx="90">
                  <c:v>8.4327404271156786E-2</c:v>
                </c:pt>
                <c:pt idx="91">
                  <c:v>8.3862786937753467E-2</c:v>
                </c:pt>
                <c:pt idx="92">
                  <c:v>8.3405765622829919E-2</c:v>
                </c:pt>
                <c:pt idx="93">
                  <c:v>8.2956135578434023E-2</c:v>
                </c:pt>
                <c:pt idx="94">
                  <c:v>8.2513699700703477E-2</c:v>
                </c:pt>
                <c:pt idx="95">
                  <c:v>8.2078268166812338E-2</c:v>
                </c:pt>
                <c:pt idx="96">
                  <c:v>8.1649658092772609E-2</c:v>
                </c:pt>
                <c:pt idx="97">
                  <c:v>8.1227693210689539E-2</c:v>
                </c:pt>
                <c:pt idx="98">
                  <c:v>8.0812203564176871E-2</c:v>
                </c:pt>
                <c:pt idx="99">
                  <c:v>8.0403025220736973E-2</c:v>
                </c:pt>
                <c:pt idx="100">
                  <c:v>0.08</c:v>
                </c:pt>
                <c:pt idx="101">
                  <c:v>7.9602975216799141E-2</c:v>
                </c:pt>
                <c:pt idx="102">
                  <c:v>7.9211803438133957E-2</c:v>
                </c:pt>
                <c:pt idx="103">
                  <c:v>7.8826342253143458E-2</c:v>
                </c:pt>
                <c:pt idx="104">
                  <c:v>7.8446454055273618E-2</c:v>
                </c:pt>
                <c:pt idx="105">
                  <c:v>7.8072005835882669E-2</c:v>
                </c:pt>
                <c:pt idx="106">
                  <c:v>7.7702868988581142E-2</c:v>
                </c:pt>
                <c:pt idx="107">
                  <c:v>7.733891912365308E-2</c:v>
                </c:pt>
                <c:pt idx="108">
                  <c:v>7.6980035891950099E-2</c:v>
                </c:pt>
                <c:pt idx="109">
                  <c:v>7.662610281769211E-2</c:v>
                </c:pt>
                <c:pt idx="110">
                  <c:v>7.6277007139647385E-2</c:v>
                </c:pt>
                <c:pt idx="111">
                  <c:v>7.5932639660199933E-2</c:v>
                </c:pt>
                <c:pt idx="112">
                  <c:v>7.5592894601845442E-2</c:v>
                </c:pt>
                <c:pt idx="113">
                  <c:v>7.525766947068778E-2</c:v>
                </c:pt>
                <c:pt idx="114">
                  <c:v>7.4926864926535525E-2</c:v>
                </c:pt>
                <c:pt idx="115">
                  <c:v>7.4600384659225111E-2</c:v>
                </c:pt>
                <c:pt idx="116">
                  <c:v>7.427813527082075E-2</c:v>
                </c:pt>
                <c:pt idx="117">
                  <c:v>7.3960026163363876E-2</c:v>
                </c:pt>
                <c:pt idx="118">
                  <c:v>7.3645969431865868E-2</c:v>
                </c:pt>
                <c:pt idx="119">
                  <c:v>7.3335879762256917E-2</c:v>
                </c:pt>
                <c:pt idx="120">
                  <c:v>7.3029674334022146E-2</c:v>
                </c:pt>
                <c:pt idx="121">
                  <c:v>7.2727272727272738E-2</c:v>
                </c:pt>
                <c:pt idx="122">
                  <c:v>7.2428596834014827E-2</c:v>
                </c:pt>
                <c:pt idx="123">
                  <c:v>7.2133570773394579E-2</c:v>
                </c:pt>
                <c:pt idx="124">
                  <c:v>7.1842120810709967E-2</c:v>
                </c:pt>
                <c:pt idx="125">
                  <c:v>7.1554175279993276E-2</c:v>
                </c:pt>
                <c:pt idx="126">
                  <c:v>7.1269664509979833E-2</c:v>
                </c:pt>
                <c:pt idx="127">
                  <c:v>7.0988520753289111E-2</c:v>
                </c:pt>
                <c:pt idx="128">
                  <c:v>7.0710678118654752E-2</c:v>
                </c:pt>
                <c:pt idx="129">
                  <c:v>7.0436072506049913E-2</c:v>
                </c:pt>
                <c:pt idx="130">
                  <c:v>7.0164641544562339E-2</c:v>
                </c:pt>
                <c:pt idx="131">
                  <c:v>6.9896324532883039E-2</c:v>
                </c:pt>
                <c:pt idx="132">
                  <c:v>6.9631062382279146E-2</c:v>
                </c:pt>
                <c:pt idx="133">
                  <c:v>6.9368797561929596E-2</c:v>
                </c:pt>
                <c:pt idx="134">
                  <c:v>6.9109474046508815E-2</c:v>
                </c:pt>
                <c:pt idx="135">
                  <c:v>6.8853037265909633E-2</c:v>
                </c:pt>
                <c:pt idx="136">
                  <c:v>6.8599434057003542E-2</c:v>
                </c:pt>
                <c:pt idx="137">
                  <c:v>6.8348612617340876E-2</c:v>
                </c:pt>
                <c:pt idx="138">
                  <c:v>6.8100522460699892E-2</c:v>
                </c:pt>
                <c:pt idx="139">
                  <c:v>6.7855114374397688E-2</c:v>
                </c:pt>
                <c:pt idx="140">
                  <c:v>6.761234037828133E-2</c:v>
                </c:pt>
                <c:pt idx="141">
                  <c:v>6.7372153685321526E-2</c:v>
                </c:pt>
                <c:pt idx="142">
                  <c:v>6.7134508663735132E-2</c:v>
                </c:pt>
                <c:pt idx="143">
                  <c:v>6.689936080056727E-2</c:v>
                </c:pt>
                <c:pt idx="144">
                  <c:v>6.6666666666666666E-2</c:v>
                </c:pt>
                <c:pt idx="145">
                  <c:v>6.6436383882991973E-2</c:v>
                </c:pt>
                <c:pt idx="146">
                  <c:v>6.6208471088189433E-2</c:v>
                </c:pt>
                <c:pt idx="147">
                  <c:v>6.5982887907385809E-2</c:v>
                </c:pt>
                <c:pt idx="148">
                  <c:v>6.5759594922142922E-2</c:v>
                </c:pt>
                <c:pt idx="149">
                  <c:v>6.5538553641523251E-2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6012576"/>
        <c:axId val="216009048"/>
      </c:scatterChart>
      <c:valAx>
        <c:axId val="216012576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Nombre d'appareils installés </a:t>
                </a:r>
              </a:p>
            </c:rich>
          </c:tx>
          <c:layout>
            <c:manualLayout>
              <c:xMode val="edge"/>
              <c:yMode val="edge"/>
              <c:x val="0.37551057827505008"/>
              <c:y val="0.8592623671237237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6009048"/>
        <c:crosses val="autoZero"/>
        <c:crossBetween val="midCat"/>
        <c:majorUnit val="20"/>
      </c:valAx>
      <c:valAx>
        <c:axId val="216009048"/>
        <c:scaling>
          <c:orientation val="minMax"/>
          <c:max val="1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Coefficient de simultanéité</a:t>
                </a:r>
              </a:p>
            </c:rich>
          </c:tx>
          <c:layout>
            <c:manualLayout>
              <c:xMode val="edge"/>
              <c:yMode val="edge"/>
              <c:x val="6.5306187526095669E-2"/>
              <c:y val="0.1851858549835611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6012576"/>
        <c:crosses val="autoZero"/>
        <c:crossBetween val="midCat"/>
        <c:majorUnit val="0.1"/>
      </c:valAx>
      <c:spPr>
        <a:solidFill>
          <a:srgbClr val="FFFFCC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4921259845" footer="0.4921259845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18</xdr:row>
          <xdr:rowOff>9525</xdr:rowOff>
        </xdr:from>
        <xdr:to>
          <xdr:col>12</xdr:col>
          <xdr:colOff>0</xdr:colOff>
          <xdr:row>18</xdr:row>
          <xdr:rowOff>381000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Calculer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257175</xdr:colOff>
      <xdr:row>1</xdr:row>
      <xdr:rowOff>19050</xdr:rowOff>
    </xdr:from>
    <xdr:to>
      <xdr:col>16</xdr:col>
      <xdr:colOff>142875</xdr:colOff>
      <xdr:row>21</xdr:row>
      <xdr:rowOff>104775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323849</xdr:colOff>
      <xdr:row>31</xdr:row>
      <xdr:rowOff>28575</xdr:rowOff>
    </xdr:from>
    <xdr:to>
      <xdr:col>16</xdr:col>
      <xdr:colOff>619124</xdr:colOff>
      <xdr:row>51</xdr:row>
      <xdr:rowOff>95250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48"/>
  <sheetViews>
    <sheetView tabSelected="1" zoomScale="90" zoomScaleNormal="90" workbookViewId="0">
      <selection activeCell="K11" sqref="K11"/>
    </sheetView>
  </sheetViews>
  <sheetFormatPr defaultColWidth="11.42578125" defaultRowHeight="15" x14ac:dyDescent="0.25"/>
  <cols>
    <col min="1" max="1" width="28.42578125" style="1" bestFit="1" customWidth="1"/>
    <col min="2" max="2" width="19" style="1" customWidth="1"/>
    <col min="3" max="3" width="13.7109375" style="1" bestFit="1" customWidth="1"/>
    <col min="4" max="4" width="13.7109375" style="1" customWidth="1"/>
    <col min="5" max="6" width="23.5703125" style="1" bestFit="1" customWidth="1"/>
    <col min="7" max="7" width="10" style="1" customWidth="1"/>
    <col min="8" max="8" width="12.7109375" style="1" bestFit="1" customWidth="1"/>
    <col min="9" max="9" width="17.42578125" style="1" customWidth="1"/>
    <col min="10" max="10" width="15.5703125" style="1" bestFit="1" customWidth="1"/>
    <col min="11" max="11" width="11" style="1" bestFit="1" customWidth="1"/>
    <col min="12" max="12" width="8.7109375" style="1" customWidth="1"/>
    <col min="13" max="13" width="19.140625" style="1" bestFit="1" customWidth="1"/>
    <col min="14" max="15" width="11.42578125" style="1"/>
    <col min="16" max="16" width="19.140625" style="1" bestFit="1" customWidth="1"/>
    <col min="17" max="16384" width="11.42578125" style="1"/>
  </cols>
  <sheetData>
    <row r="1" spans="1:16" ht="15.75" thickBot="1" x14ac:dyDescent="0.3"/>
    <row r="2" spans="1:16" ht="15.75" thickBot="1" x14ac:dyDescent="0.3">
      <c r="A2" s="231" t="s">
        <v>169</v>
      </c>
      <c r="B2" s="281">
        <v>1</v>
      </c>
      <c r="C2" s="284"/>
      <c r="D2" s="284"/>
      <c r="E2" s="233" t="s">
        <v>171</v>
      </c>
      <c r="F2" s="280">
        <f>'Branches Terminales'!D18*B3*B2</f>
        <v>76</v>
      </c>
      <c r="G2" s="283"/>
    </row>
    <row r="3" spans="1:16" ht="15.75" thickBot="1" x14ac:dyDescent="0.3">
      <c r="A3" s="232" t="s">
        <v>170</v>
      </c>
      <c r="B3" s="282">
        <v>4</v>
      </c>
      <c r="C3" s="284"/>
      <c r="D3" s="284"/>
      <c r="E3" s="233" t="s">
        <v>189</v>
      </c>
      <c r="F3" s="280" t="s">
        <v>60</v>
      </c>
      <c r="G3" s="284"/>
    </row>
    <row r="5" spans="1:16" ht="15.75" thickBot="1" x14ac:dyDescent="0.3"/>
    <row r="6" spans="1:16" ht="15.75" thickBot="1" x14ac:dyDescent="0.3">
      <c r="A6" s="293" t="s">
        <v>51</v>
      </c>
      <c r="B6" s="294"/>
      <c r="C6" s="294"/>
      <c r="D6" s="294"/>
      <c r="E6" s="294"/>
      <c r="F6" s="294"/>
      <c r="G6" s="294"/>
      <c r="H6" s="294"/>
      <c r="I6" s="294"/>
      <c r="J6" s="294"/>
      <c r="K6" s="294"/>
      <c r="L6" s="294"/>
      <c r="M6" s="295"/>
    </row>
    <row r="7" spans="1:16" ht="15" customHeight="1" thickBot="1" x14ac:dyDescent="0.3">
      <c r="C7" s="12"/>
      <c r="D7" s="12"/>
      <c r="E7" s="12"/>
      <c r="F7" s="12"/>
      <c r="G7" s="12"/>
      <c r="H7" s="12"/>
      <c r="I7" s="12"/>
      <c r="J7" s="12"/>
      <c r="K7" s="12"/>
      <c r="L7" s="12"/>
    </row>
    <row r="8" spans="1:16" ht="18.75" thickBot="1" x14ac:dyDescent="0.3">
      <c r="A8" s="11" t="s">
        <v>50</v>
      </c>
      <c r="B8" s="10" t="s">
        <v>81</v>
      </c>
      <c r="C8" s="259" t="s">
        <v>174</v>
      </c>
      <c r="D8" s="9" t="s">
        <v>188</v>
      </c>
      <c r="E8" s="9" t="s">
        <v>49</v>
      </c>
      <c r="F8" s="9" t="s">
        <v>48</v>
      </c>
      <c r="G8" s="250" t="s">
        <v>47</v>
      </c>
      <c r="H8" s="249" t="s">
        <v>176</v>
      </c>
      <c r="I8" s="278" t="s">
        <v>192</v>
      </c>
      <c r="J8" s="279" t="s">
        <v>193</v>
      </c>
      <c r="K8" s="250" t="s">
        <v>121</v>
      </c>
      <c r="L8" s="272" t="s">
        <v>177</v>
      </c>
      <c r="M8" s="273" t="s">
        <v>190</v>
      </c>
      <c r="N8" s="250" t="s">
        <v>178</v>
      </c>
      <c r="O8" s="272" t="s">
        <v>179</v>
      </c>
      <c r="P8" s="274" t="s">
        <v>191</v>
      </c>
    </row>
    <row r="9" spans="1:16" ht="15" customHeight="1" thickTop="1" x14ac:dyDescent="0.25">
      <c r="A9" s="8" t="s">
        <v>55</v>
      </c>
      <c r="B9" s="224" t="s">
        <v>120</v>
      </c>
      <c r="C9" s="234">
        <f>'Branches Terminales'!F41</f>
        <v>3.5200000000000005</v>
      </c>
      <c r="D9" s="270">
        <f>'Branches Terminales'!E41</f>
        <v>19</v>
      </c>
      <c r="E9" s="260">
        <f>'Branches Terminales'!G41</f>
        <v>0.1885618083164127</v>
      </c>
      <c r="F9" s="261">
        <f>'Branches Terminales'!H41</f>
        <v>0.66373756527377281</v>
      </c>
      <c r="G9" s="251">
        <v>1.5</v>
      </c>
      <c r="H9" s="248">
        <f>SQRT((4*F9*(10^-3))/(PI()*G9))*10^3</f>
        <v>23.736005216166205</v>
      </c>
      <c r="I9" s="248">
        <f>ROUNDUP(H9,0)</f>
        <v>24</v>
      </c>
      <c r="J9" s="332" t="str">
        <f>IF(F3="Cuivre",VLOOKUP(H9,Plomberie!B55:E99,2,TRUE),IF(F3="PVC pression",VLOOKUP(H9,Plomberie!B55:E99,3,TRUE),IF(F3="PER", VLOOKUP(H9,Plomberie!B55:E99,4,TRUE),"OUPS")))</f>
        <v>24/26</v>
      </c>
      <c r="K9" s="277">
        <f>1.15*0.00092*(1.5^(7/4))*(I9^(5/4))</f>
        <v>0.114264</v>
      </c>
      <c r="L9" s="251">
        <v>10</v>
      </c>
      <c r="M9" s="255">
        <v>32</v>
      </c>
      <c r="N9" s="285">
        <f>L9*K9</f>
        <v>1.1426400000000001</v>
      </c>
      <c r="O9" s="258">
        <v>0</v>
      </c>
      <c r="P9" s="286">
        <f>M9-N9</f>
        <v>30.85736</v>
      </c>
    </row>
    <row r="10" spans="1:16" ht="15" customHeight="1" x14ac:dyDescent="0.25">
      <c r="A10" s="298"/>
      <c r="B10" s="299"/>
      <c r="C10" s="299"/>
      <c r="D10" s="299"/>
      <c r="E10" s="299"/>
      <c r="F10" s="299"/>
      <c r="G10" s="299"/>
      <c r="H10" s="299"/>
      <c r="I10" s="299"/>
      <c r="J10" s="299"/>
      <c r="K10" s="299"/>
      <c r="L10" s="299"/>
      <c r="M10" s="299"/>
      <c r="N10" s="299"/>
      <c r="O10" s="299"/>
      <c r="P10" s="300"/>
    </row>
    <row r="11" spans="1:16" ht="15" customHeight="1" x14ac:dyDescent="0.25">
      <c r="A11" s="267" t="s">
        <v>186</v>
      </c>
      <c r="B11" s="290" t="s">
        <v>194</v>
      </c>
      <c r="C11" s="268">
        <f>C9</f>
        <v>3.5200000000000005</v>
      </c>
      <c r="D11" s="268">
        <f>D9</f>
        <v>19</v>
      </c>
      <c r="E11" s="291">
        <f>E9</f>
        <v>0.1885618083164127</v>
      </c>
      <c r="F11" s="292">
        <f>F9</f>
        <v>0.66373756527377281</v>
      </c>
      <c r="G11" s="252">
        <f>1.5</f>
        <v>1.5</v>
      </c>
      <c r="H11" s="6">
        <f>SQRT((4*F11*(10^-3))/(PI()*G11))*10^3</f>
        <v>23.736005216166205</v>
      </c>
      <c r="I11" s="288">
        <f>ROUNDUP(H11,0)</f>
        <v>24</v>
      </c>
      <c r="J11" s="332" t="str">
        <f>IF(F3="Cuivre",VLOOKUP(H11,Plomberie!B55:E99,2,TRUE),IF(F3="PVC pression",VLOOKUP(H11,Plomberie!B55:E99,3,TRUE),IF(F3="PER", VLOOKUP(H11,Plomberie!B55:E99,4,TRUE),"OUPS")))</f>
        <v>24/26</v>
      </c>
      <c r="K11" s="252"/>
      <c r="L11" s="252">
        <v>3</v>
      </c>
      <c r="M11" s="287">
        <f>P9</f>
        <v>30.85736</v>
      </c>
      <c r="N11" s="256">
        <f>K11*L11</f>
        <v>0</v>
      </c>
      <c r="O11" s="256"/>
      <c r="P11" s="289">
        <f>M11-N11-O11</f>
        <v>30.85736</v>
      </c>
    </row>
    <row r="12" spans="1:16" ht="15" customHeight="1" x14ac:dyDescent="0.25">
      <c r="A12" s="7"/>
      <c r="B12" s="290" t="s">
        <v>187</v>
      </c>
      <c r="C12" s="269"/>
      <c r="D12" s="269"/>
      <c r="E12" s="269"/>
      <c r="F12" s="262"/>
      <c r="G12" s="252">
        <f t="shared" ref="G12:G21" si="0">1.5</f>
        <v>1.5</v>
      </c>
      <c r="H12" s="6"/>
      <c r="I12" s="288">
        <f>ROUNDUP(H12,0)</f>
        <v>0</v>
      </c>
      <c r="J12" s="332"/>
      <c r="K12" s="252"/>
      <c r="L12" s="252">
        <v>3</v>
      </c>
      <c r="M12" s="287">
        <f>P11</f>
        <v>30.85736</v>
      </c>
      <c r="N12" s="256">
        <f t="shared" ref="N12:N22" si="1">K12*L12</f>
        <v>0</v>
      </c>
      <c r="O12" s="256"/>
      <c r="P12" s="289">
        <f t="shared" ref="P12:P22" si="2">M12-N12-O12</f>
        <v>30.85736</v>
      </c>
    </row>
    <row r="13" spans="1:16" ht="15" customHeight="1" x14ac:dyDescent="0.25">
      <c r="A13" s="7"/>
      <c r="B13" s="290"/>
      <c r="C13" s="269"/>
      <c r="D13" s="269"/>
      <c r="E13" s="269"/>
      <c r="F13" s="262"/>
      <c r="G13" s="252"/>
      <c r="H13" s="6"/>
      <c r="I13" s="248"/>
      <c r="J13" s="332"/>
      <c r="K13" s="252"/>
      <c r="L13" s="252"/>
      <c r="M13" s="287"/>
      <c r="N13" s="256"/>
      <c r="O13" s="256"/>
      <c r="P13" s="289"/>
    </row>
    <row r="14" spans="1:16" ht="15" customHeight="1" x14ac:dyDescent="0.25">
      <c r="A14" s="7"/>
      <c r="B14" s="290"/>
      <c r="C14" s="269"/>
      <c r="D14" s="269"/>
      <c r="E14" s="269"/>
      <c r="F14" s="262"/>
      <c r="G14" s="252"/>
      <c r="H14" s="6"/>
      <c r="I14" s="248"/>
      <c r="J14" s="332"/>
      <c r="K14" s="252"/>
      <c r="L14" s="252"/>
      <c r="M14" s="287"/>
      <c r="N14" s="256"/>
      <c r="O14" s="256"/>
      <c r="P14" s="289"/>
    </row>
    <row r="15" spans="1:16" ht="15" customHeight="1" x14ac:dyDescent="0.25">
      <c r="A15" s="7"/>
      <c r="B15" s="290"/>
      <c r="C15" s="269"/>
      <c r="D15" s="269"/>
      <c r="E15" s="269"/>
      <c r="F15" s="262"/>
      <c r="G15" s="252"/>
      <c r="H15" s="6"/>
      <c r="I15" s="248"/>
      <c r="J15" s="332"/>
      <c r="K15" s="252"/>
      <c r="L15" s="252"/>
      <c r="M15" s="287"/>
      <c r="N15" s="256"/>
      <c r="O15" s="256"/>
      <c r="P15" s="289"/>
    </row>
    <row r="16" spans="1:16" ht="15" customHeight="1" x14ac:dyDescent="0.25">
      <c r="A16" s="7"/>
      <c r="B16" s="290"/>
      <c r="C16" s="269"/>
      <c r="D16" s="269"/>
      <c r="E16" s="269"/>
      <c r="F16" s="262"/>
      <c r="G16" s="252"/>
      <c r="H16" s="6"/>
      <c r="I16" s="248"/>
      <c r="J16" s="332"/>
      <c r="K16" s="252"/>
      <c r="L16" s="252"/>
      <c r="M16" s="287"/>
      <c r="N16" s="256"/>
      <c r="O16" s="256"/>
      <c r="P16" s="289"/>
    </row>
    <row r="17" spans="1:16" ht="15" customHeight="1" x14ac:dyDescent="0.25">
      <c r="A17" s="7"/>
      <c r="B17" s="290"/>
      <c r="C17" s="269"/>
      <c r="D17" s="269"/>
      <c r="E17" s="269"/>
      <c r="F17" s="262"/>
      <c r="G17" s="252"/>
      <c r="H17" s="6"/>
      <c r="I17" s="248"/>
      <c r="J17" s="332"/>
      <c r="K17" s="252"/>
      <c r="L17" s="252"/>
      <c r="M17" s="287"/>
      <c r="N17" s="256"/>
      <c r="O17" s="256"/>
      <c r="P17" s="289"/>
    </row>
    <row r="18" spans="1:16" ht="15" customHeight="1" x14ac:dyDescent="0.25">
      <c r="A18" s="7"/>
      <c r="B18" s="290"/>
      <c r="C18" s="269"/>
      <c r="D18" s="269"/>
      <c r="E18" s="269"/>
      <c r="F18" s="262"/>
      <c r="G18" s="252"/>
      <c r="H18" s="6"/>
      <c r="I18" s="248"/>
      <c r="J18" s="332"/>
      <c r="K18" s="252"/>
      <c r="L18" s="252"/>
      <c r="M18" s="287"/>
      <c r="N18" s="256"/>
      <c r="O18" s="256"/>
      <c r="P18" s="289"/>
    </row>
    <row r="19" spans="1:16" ht="15" customHeight="1" x14ac:dyDescent="0.25">
      <c r="A19" s="7"/>
      <c r="B19" s="290"/>
      <c r="C19" s="269"/>
      <c r="D19" s="269"/>
      <c r="E19" s="269"/>
      <c r="F19" s="262"/>
      <c r="G19" s="252"/>
      <c r="H19" s="6"/>
      <c r="I19" s="248"/>
      <c r="J19" s="332"/>
      <c r="K19" s="252"/>
      <c r="L19" s="252"/>
      <c r="M19" s="287"/>
      <c r="N19" s="256"/>
      <c r="O19" s="256"/>
      <c r="P19" s="289"/>
    </row>
    <row r="20" spans="1:16" ht="15" customHeight="1" x14ac:dyDescent="0.25">
      <c r="A20" s="7"/>
      <c r="B20" s="290"/>
      <c r="C20" s="269"/>
      <c r="D20" s="269"/>
      <c r="E20" s="269"/>
      <c r="F20" s="262"/>
      <c r="G20" s="252"/>
      <c r="H20" s="6"/>
      <c r="I20" s="248"/>
      <c r="J20" s="332"/>
      <c r="K20" s="252"/>
      <c r="L20" s="252"/>
      <c r="M20" s="287"/>
      <c r="N20" s="256"/>
      <c r="O20" s="256"/>
      <c r="P20" s="289"/>
    </row>
    <row r="21" spans="1:16" ht="15" customHeight="1" x14ac:dyDescent="0.25">
      <c r="A21" s="7"/>
      <c r="B21" s="290"/>
      <c r="C21" s="269"/>
      <c r="D21" s="269"/>
      <c r="E21" s="269"/>
      <c r="F21" s="263"/>
      <c r="G21" s="252"/>
      <c r="H21" s="6"/>
      <c r="I21" s="276"/>
      <c r="J21" s="332"/>
      <c r="K21" s="253"/>
      <c r="L21" s="252"/>
      <c r="M21" s="287"/>
      <c r="N21" s="256"/>
      <c r="O21" s="256"/>
      <c r="P21" s="289"/>
    </row>
    <row r="22" spans="1:16" ht="15" customHeight="1" thickBot="1" x14ac:dyDescent="0.3">
      <c r="A22" s="296" t="s">
        <v>45</v>
      </c>
      <c r="B22" s="297"/>
      <c r="C22" s="297"/>
      <c r="D22" s="243"/>
      <c r="E22" s="219"/>
      <c r="F22" s="5"/>
      <c r="G22" s="2"/>
      <c r="H22" s="4"/>
      <c r="I22" s="4"/>
      <c r="J22" s="333"/>
      <c r="K22" s="3"/>
      <c r="L22" s="329"/>
      <c r="M22" s="330"/>
      <c r="N22" s="257"/>
      <c r="O22" s="257"/>
      <c r="P22" s="331"/>
    </row>
    <row r="24" spans="1:16" x14ac:dyDescent="0.2">
      <c r="A24" s="200"/>
      <c r="B24" s="200"/>
      <c r="C24" s="200"/>
      <c r="D24" s="200"/>
      <c r="E24" s="200"/>
      <c r="F24" s="200"/>
      <c r="G24" s="200"/>
      <c r="H24" s="200"/>
      <c r="I24" s="200"/>
      <c r="J24" s="200"/>
      <c r="K24" s="200"/>
      <c r="L24" s="200"/>
      <c r="M24" s="200"/>
    </row>
    <row r="25" spans="1:16" x14ac:dyDescent="0.2">
      <c r="A25" s="73"/>
      <c r="B25" s="73"/>
      <c r="C25" s="73"/>
      <c r="D25" s="73"/>
      <c r="E25" s="73"/>
      <c r="F25" s="225"/>
      <c r="G25" s="225"/>
      <c r="H25" s="73"/>
      <c r="I25" s="73"/>
      <c r="J25" s="73"/>
      <c r="K25" s="73"/>
      <c r="L25" s="73"/>
      <c r="M25" s="254"/>
    </row>
    <row r="26" spans="1:16" x14ac:dyDescent="0.2">
      <c r="A26" s="73"/>
      <c r="B26" s="73"/>
      <c r="C26" s="73"/>
      <c r="D26" s="73"/>
      <c r="E26" s="73"/>
      <c r="F26" s="225"/>
      <c r="G26" s="225"/>
      <c r="H26" s="73"/>
      <c r="I26" s="73"/>
      <c r="J26" s="73"/>
      <c r="K26" s="73"/>
      <c r="L26" s="73"/>
      <c r="M26" s="73"/>
    </row>
    <row r="27" spans="1:16" x14ac:dyDescent="0.2">
      <c r="A27" s="73"/>
      <c r="B27" s="73"/>
      <c r="C27" s="73"/>
      <c r="D27" s="73"/>
      <c r="E27" s="73"/>
      <c r="F27" s="225"/>
      <c r="G27" s="225"/>
      <c r="H27" s="73"/>
      <c r="I27" s="73"/>
      <c r="J27" s="73"/>
      <c r="K27" s="73"/>
      <c r="L27" s="73"/>
      <c r="M27" s="73"/>
    </row>
    <row r="28" spans="1:16" x14ac:dyDescent="0.2">
      <c r="A28" s="73"/>
      <c r="B28" s="73"/>
      <c r="C28" s="73"/>
      <c r="D28" s="73"/>
      <c r="E28" s="73"/>
      <c r="F28" s="225"/>
      <c r="G28" s="225"/>
      <c r="H28" s="73"/>
      <c r="I28" s="73"/>
      <c r="J28" s="73"/>
      <c r="K28" s="73"/>
      <c r="L28" s="73"/>
      <c r="M28" s="73"/>
    </row>
    <row r="29" spans="1:16" x14ac:dyDescent="0.2">
      <c r="A29" s="73"/>
      <c r="B29" s="73"/>
      <c r="C29" s="73"/>
      <c r="D29" s="73"/>
      <c r="E29" s="73"/>
      <c r="F29" s="225"/>
      <c r="G29" s="225"/>
      <c r="H29" s="73"/>
      <c r="I29" s="73"/>
      <c r="J29" s="73"/>
      <c r="K29" s="73"/>
      <c r="L29" s="73"/>
      <c r="M29" s="73"/>
    </row>
    <row r="30" spans="1:16" x14ac:dyDescent="0.2">
      <c r="A30" s="73"/>
      <c r="B30" s="73"/>
      <c r="C30" s="73"/>
      <c r="D30" s="73"/>
      <c r="E30" s="73"/>
      <c r="F30" s="225"/>
      <c r="G30" s="225"/>
      <c r="H30" s="73"/>
      <c r="I30" s="73"/>
      <c r="J30" s="73"/>
      <c r="K30" s="73"/>
      <c r="L30" s="73"/>
      <c r="M30" s="73"/>
    </row>
    <row r="31" spans="1:16" x14ac:dyDescent="0.2">
      <c r="A31" s="73"/>
      <c r="B31" s="73"/>
      <c r="C31" s="73"/>
      <c r="D31" s="73"/>
      <c r="E31" s="73"/>
      <c r="F31" s="225"/>
      <c r="G31" s="225"/>
      <c r="H31" s="73"/>
      <c r="I31" s="73"/>
      <c r="J31" s="73"/>
      <c r="K31" s="73"/>
      <c r="L31" s="73"/>
      <c r="M31" s="73"/>
    </row>
    <row r="32" spans="1:16" x14ac:dyDescent="0.2">
      <c r="A32" s="73"/>
      <c r="B32" s="73"/>
      <c r="C32" s="73"/>
      <c r="D32" s="73"/>
      <c r="E32" s="73"/>
      <c r="F32" s="225"/>
      <c r="G32" s="225"/>
      <c r="H32" s="73"/>
      <c r="I32" s="73"/>
      <c r="J32" s="73"/>
      <c r="K32" s="73"/>
      <c r="L32" s="73"/>
      <c r="M32" s="73"/>
    </row>
    <row r="33" spans="1:13" x14ac:dyDescent="0.2">
      <c r="A33" s="73"/>
      <c r="B33" s="73"/>
      <c r="C33" s="73"/>
      <c r="D33" s="73"/>
      <c r="E33" s="73"/>
      <c r="F33" s="225"/>
      <c r="G33" s="225"/>
      <c r="H33" s="73"/>
      <c r="I33" s="73"/>
      <c r="J33" s="73"/>
      <c r="K33" s="73"/>
      <c r="L33" s="73"/>
      <c r="M33" s="73"/>
    </row>
    <row r="34" spans="1:13" x14ac:dyDescent="0.2">
      <c r="A34" s="73"/>
      <c r="B34" s="73"/>
      <c r="C34" s="73"/>
      <c r="D34" s="73"/>
      <c r="E34" s="73"/>
      <c r="F34" s="225"/>
      <c r="G34" s="225"/>
      <c r="H34" s="73"/>
      <c r="I34" s="73"/>
      <c r="J34" s="73"/>
      <c r="K34" s="73"/>
      <c r="L34" s="73"/>
      <c r="M34" s="73"/>
    </row>
    <row r="35" spans="1:13" x14ac:dyDescent="0.2">
      <c r="A35" s="73"/>
      <c r="B35" s="73"/>
      <c r="C35" s="73"/>
      <c r="D35" s="73"/>
      <c r="E35" s="73"/>
      <c r="F35" s="225"/>
      <c r="G35" s="225"/>
      <c r="H35" s="73"/>
      <c r="I35" s="73"/>
      <c r="J35" s="73"/>
      <c r="K35" s="73"/>
      <c r="L35" s="73"/>
      <c r="M35" s="73"/>
    </row>
    <row r="36" spans="1:13" x14ac:dyDescent="0.2">
      <c r="A36" s="73"/>
      <c r="B36" s="73"/>
      <c r="C36" s="73"/>
      <c r="D36" s="73"/>
      <c r="E36" s="73"/>
      <c r="F36" s="225"/>
      <c r="G36" s="225"/>
      <c r="H36" s="73"/>
      <c r="I36" s="73"/>
      <c r="J36" s="73"/>
      <c r="K36" s="73"/>
      <c r="L36" s="73"/>
      <c r="M36" s="73"/>
    </row>
    <row r="37" spans="1:13" x14ac:dyDescent="0.2">
      <c r="A37" s="73"/>
      <c r="B37" s="73"/>
      <c r="C37" s="73"/>
      <c r="D37" s="73"/>
      <c r="E37" s="73"/>
      <c r="F37" s="225"/>
      <c r="G37" s="225"/>
      <c r="H37" s="73"/>
      <c r="I37" s="73"/>
      <c r="J37" s="73"/>
      <c r="K37" s="73"/>
      <c r="L37" s="73"/>
      <c r="M37" s="73"/>
    </row>
    <row r="38" spans="1:13" x14ac:dyDescent="0.2">
      <c r="A38" s="73"/>
      <c r="B38" s="73"/>
      <c r="C38" s="73"/>
      <c r="D38" s="73"/>
      <c r="E38" s="73"/>
      <c r="F38" s="225"/>
      <c r="G38" s="225"/>
      <c r="H38" s="73"/>
      <c r="I38" s="73"/>
      <c r="J38" s="73"/>
      <c r="K38" s="73"/>
      <c r="L38" s="73"/>
      <c r="M38" s="73"/>
    </row>
    <row r="39" spans="1:13" x14ac:dyDescent="0.2">
      <c r="A39" s="73"/>
      <c r="B39" s="73"/>
      <c r="C39" s="73"/>
      <c r="D39" s="73"/>
      <c r="E39" s="73"/>
      <c r="F39" s="225"/>
      <c r="G39" s="225"/>
      <c r="H39" s="73"/>
      <c r="I39" s="73"/>
      <c r="J39" s="73"/>
      <c r="K39" s="73"/>
      <c r="L39" s="73"/>
      <c r="M39" s="73"/>
    </row>
    <row r="40" spans="1:13" x14ac:dyDescent="0.2">
      <c r="A40" s="200"/>
      <c r="B40" s="200"/>
      <c r="C40" s="200"/>
      <c r="D40" s="200"/>
      <c r="E40" s="200"/>
      <c r="F40" s="225"/>
      <c r="G40" s="225"/>
      <c r="H40" s="73"/>
      <c r="I40" s="73"/>
      <c r="J40" s="73"/>
      <c r="K40" s="73"/>
      <c r="L40" s="73"/>
      <c r="M40" s="199"/>
    </row>
    <row r="41" spans="1:13" x14ac:dyDescent="0.25">
      <c r="F41" s="226"/>
      <c r="G41" s="226"/>
    </row>
    <row r="42" spans="1:13" x14ac:dyDescent="0.25">
      <c r="F42" s="226"/>
      <c r="G42" s="226"/>
    </row>
    <row r="43" spans="1:13" x14ac:dyDescent="0.25">
      <c r="F43" s="226"/>
      <c r="G43" s="226"/>
    </row>
    <row r="44" spans="1:13" x14ac:dyDescent="0.25">
      <c r="F44" s="226"/>
      <c r="G44" s="226"/>
    </row>
    <row r="45" spans="1:13" x14ac:dyDescent="0.25">
      <c r="F45" s="226"/>
      <c r="G45" s="226"/>
    </row>
    <row r="46" spans="1:13" x14ac:dyDescent="0.25">
      <c r="F46" s="226"/>
      <c r="G46" s="226"/>
    </row>
    <row r="47" spans="1:13" x14ac:dyDescent="0.25">
      <c r="F47" s="226"/>
      <c r="G47" s="226"/>
    </row>
    <row r="48" spans="1:13" x14ac:dyDescent="0.25">
      <c r="F48" s="226"/>
      <c r="G48" s="226"/>
    </row>
  </sheetData>
  <sheetProtection insertRows="0" deleteRows="0"/>
  <protectedRanges>
    <protectedRange sqref="F27:G27 J40 J22 C26:E27 C9:D9 F9" name="Plage1"/>
  </protectedRanges>
  <dataConsolidate/>
  <mergeCells count="3">
    <mergeCell ref="A6:M6"/>
    <mergeCell ref="A22:C22"/>
    <mergeCell ref="A10:P10"/>
  </mergeCells>
  <dataValidations count="11">
    <dataValidation allowBlank="1" showInputMessage="1" showErrorMessage="1" promptTitle="Insérer ici :" prompt="Le numéro du tronçon étudié" sqref="A8:B8"/>
    <dataValidation allowBlank="1" showInputMessage="1" showErrorMessage="1" promptTitle="Lire Ici :" prompt="La longueur totale du tronçon" sqref="C8"/>
    <dataValidation allowBlank="1" showInputMessage="1" showErrorMessage="1" promptTitle="Insérer Ici :" prompt="La puissance des radiateurs situés en aval" sqref="E8"/>
    <dataValidation allowBlank="1" showInputMessage="1" showErrorMessage="1" promptTitle="Lire Ici :" prompt="Le débit d'eau circulant dans le tronçon" sqref="F8"/>
    <dataValidation type="whole" operator="notEqual" allowBlank="1" showInputMessage="1" showErrorMessage="1" promptTitle="Saisie 2" prompt="Saisir le nombre d'appart par étage" sqref="B3">
      <formula1>0</formula1>
    </dataValidation>
    <dataValidation allowBlank="1" showInputMessage="1" showErrorMessage="1" promptTitle="Lire Ici :" prompt="Perte de charge" sqref="K8 N8"/>
    <dataValidation allowBlank="1" showInputMessage="1" showErrorMessage="1" promptTitle="Indiquer ci-dessous:" prompt="La vitesse d'eau dans le tronçon" sqref="G8"/>
    <dataValidation allowBlank="1" showErrorMessage="1" sqref="C27:G27 F26:M26"/>
    <dataValidation allowBlank="1" showErrorMessage="1" promptTitle="Insérer ici :" prompt="Le numéro du tronçon étudié" sqref="A26:B26"/>
    <dataValidation allowBlank="1" showErrorMessage="1" promptTitle="Lire Ici :" prompt="Le type du matériau à Utiliser" sqref="M25"/>
    <dataValidation allowBlank="1" showInputMessage="1" showErrorMessage="1" promptTitle="Lire Ici :" prompt="Nombre d'appareils suivant le tronçon" sqref="D8"/>
  </dataValidations>
  <printOptions horizontalCentered="1" verticalCentered="1"/>
  <pageMargins left="0.23622047244094491" right="0.23622047244094491" top="0.6692913385826772" bottom="0.6692913385826772" header="0.31496062992125984" footer="0.31496062992125984"/>
  <pageSetup paperSize="9" orientation="landscape" horizontalDpi="4294967292" verticalDpi="0" r:id="rId1"/>
  <headerFooter>
    <oddHeader>&amp;LLOUPE Valentin&amp;C&amp;"-,Gras"&amp;12&amp;U&amp;F&amp;RLe &amp;D à &amp;T</oddHeader>
    <oddFooter>&amp;L&amp;A&amp;RPage n°&amp;P/&amp;N</oddFooter>
  </headerFooter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Title="Saisie" prompt="Saisir le nombre d'étages">
          <x14:formula1>
            <xm:f>Plomberie!$D$31:$D$40</xm:f>
          </x14:formula1>
          <xm:sqref>B2</xm:sqref>
        </x14:dataValidation>
        <x14:dataValidation type="list" allowBlank="1" showInputMessage="1" showErrorMessage="1" promptTitle="Choisir Ici:" prompt="Le type de materiau utilisé">
          <x14:formula1>
            <xm:f>Plomberie!$F$31:$F$33</xm:f>
          </x14:formula1>
          <xm:sqref>F3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T41"/>
  <sheetViews>
    <sheetView zoomScale="90" zoomScaleNormal="90" workbookViewId="0">
      <selection activeCell="C23" sqref="C23"/>
    </sheetView>
  </sheetViews>
  <sheetFormatPr defaultRowHeight="15" x14ac:dyDescent="0.25"/>
  <cols>
    <col min="1" max="1" width="13.85546875" customWidth="1"/>
    <col min="2" max="2" width="16.140625" customWidth="1"/>
    <col min="3" max="3" width="39.5703125" customWidth="1"/>
    <col min="4" max="4" width="19" bestFit="1" customWidth="1"/>
    <col min="5" max="5" width="19" customWidth="1"/>
    <col min="6" max="6" width="15.85546875" bestFit="1" customWidth="1"/>
    <col min="7" max="7" width="17.42578125" bestFit="1" customWidth="1"/>
    <col min="8" max="8" width="17.42578125" customWidth="1"/>
    <col min="9" max="9" width="11.140625" customWidth="1"/>
    <col min="10" max="11" width="15.85546875" customWidth="1"/>
    <col min="12" max="12" width="27.5703125" bestFit="1" customWidth="1"/>
    <col min="13" max="13" width="15.140625" customWidth="1"/>
    <col min="14" max="14" width="14.5703125" customWidth="1"/>
    <col min="15" max="15" width="19.7109375" bestFit="1" customWidth="1"/>
    <col min="16" max="16" width="12.7109375" customWidth="1"/>
    <col min="17" max="17" width="14.140625" customWidth="1"/>
    <col min="18" max="18" width="12.7109375" customWidth="1"/>
    <col min="19" max="19" width="13.42578125" customWidth="1"/>
    <col min="20" max="20" width="19.7109375" bestFit="1" customWidth="1"/>
  </cols>
  <sheetData>
    <row r="1" spans="1:20" ht="19.5" thickBot="1" x14ac:dyDescent="0.45">
      <c r="A1" s="308" t="s">
        <v>134</v>
      </c>
      <c r="B1" s="309"/>
      <c r="C1" s="309"/>
      <c r="D1" s="309"/>
      <c r="E1" s="309"/>
      <c r="F1" s="310"/>
      <c r="I1" s="133"/>
      <c r="J1" s="73"/>
      <c r="K1" s="73"/>
      <c r="L1" s="311" t="s">
        <v>135</v>
      </c>
      <c r="M1" s="302"/>
      <c r="N1" s="302"/>
      <c r="O1" s="302"/>
      <c r="P1" s="302"/>
      <c r="Q1" s="302"/>
      <c r="R1" s="302"/>
      <c r="S1" s="302"/>
      <c r="T1" s="302"/>
    </row>
    <row r="2" spans="1:20" ht="15.75" thickBot="1" x14ac:dyDescent="0.3">
      <c r="A2" s="136" t="s">
        <v>117</v>
      </c>
      <c r="B2" s="137" t="s">
        <v>53</v>
      </c>
      <c r="C2" s="10" t="s">
        <v>136</v>
      </c>
      <c r="D2" s="10" t="s">
        <v>57</v>
      </c>
      <c r="E2" s="99" t="s">
        <v>32</v>
      </c>
      <c r="F2" s="236"/>
      <c r="I2" s="133"/>
      <c r="J2" s="136" t="s">
        <v>117</v>
      </c>
      <c r="K2" s="191"/>
      <c r="L2" s="189" t="s">
        <v>127</v>
      </c>
      <c r="M2" s="139" t="s">
        <v>122</v>
      </c>
      <c r="N2" s="146" t="s">
        <v>133</v>
      </c>
      <c r="O2" s="266" t="s">
        <v>185</v>
      </c>
      <c r="Q2" s="190" t="s">
        <v>129</v>
      </c>
      <c r="R2" s="139" t="s">
        <v>122</v>
      </c>
      <c r="S2" s="150" t="s">
        <v>133</v>
      </c>
      <c r="T2" s="266" t="s">
        <v>185</v>
      </c>
    </row>
    <row r="3" spans="1:20" ht="16.5" thickTop="1" thickBot="1" x14ac:dyDescent="0.3">
      <c r="A3" s="306" t="s">
        <v>60</v>
      </c>
      <c r="B3" s="137" t="s">
        <v>55</v>
      </c>
      <c r="C3" s="70" t="s">
        <v>33</v>
      </c>
      <c r="D3" s="64">
        <v>1</v>
      </c>
      <c r="E3" s="66">
        <f>D3*Plomberie!B39</f>
        <v>0.5</v>
      </c>
      <c r="I3" s="133"/>
      <c r="J3" s="306" t="s">
        <v>60</v>
      </c>
      <c r="K3" s="192"/>
      <c r="L3" s="183" t="s">
        <v>16</v>
      </c>
      <c r="M3" s="140">
        <v>1</v>
      </c>
      <c r="N3" s="147">
        <f>M3*2.5</f>
        <v>2.5</v>
      </c>
      <c r="O3" s="315"/>
      <c r="Q3" s="65" t="s">
        <v>5</v>
      </c>
      <c r="R3" s="144">
        <v>1</v>
      </c>
      <c r="S3" s="147">
        <f>R3*1.5</f>
        <v>1.5</v>
      </c>
      <c r="T3" s="312"/>
    </row>
    <row r="4" spans="1:20" ht="15.75" customHeight="1" thickTop="1" x14ac:dyDescent="0.25">
      <c r="A4" s="306"/>
      <c r="B4" s="316"/>
      <c r="C4" s="70" t="s">
        <v>20</v>
      </c>
      <c r="D4" s="64">
        <v>1</v>
      </c>
      <c r="E4" s="66">
        <f>D4*Plomberie!B40</f>
        <v>0.5</v>
      </c>
      <c r="I4" s="133"/>
      <c r="J4" s="306"/>
      <c r="K4" s="192"/>
      <c r="L4" s="183" t="s">
        <v>125</v>
      </c>
      <c r="M4" s="141">
        <v>2</v>
      </c>
      <c r="N4" s="148">
        <f>M4*1</f>
        <v>2</v>
      </c>
      <c r="O4" s="315"/>
      <c r="Q4" s="65" t="s">
        <v>8</v>
      </c>
      <c r="R4" s="144">
        <v>1</v>
      </c>
      <c r="S4" s="148">
        <f>R4*2</f>
        <v>2</v>
      </c>
      <c r="T4" s="313"/>
    </row>
    <row r="5" spans="1:20" ht="15.75" thickBot="1" x14ac:dyDescent="0.3">
      <c r="A5" s="306"/>
      <c r="B5" s="317"/>
      <c r="C5" s="70" t="s">
        <v>14</v>
      </c>
      <c r="D5" s="64">
        <v>2</v>
      </c>
      <c r="E5" s="66">
        <f>D5*Plomberie!B41</f>
        <v>1</v>
      </c>
      <c r="I5" s="133"/>
      <c r="J5" s="306"/>
      <c r="K5" s="192"/>
      <c r="L5" s="184" t="s">
        <v>126</v>
      </c>
      <c r="M5" s="142">
        <v>1</v>
      </c>
      <c r="N5" s="148">
        <f>M5*1</f>
        <v>1</v>
      </c>
      <c r="O5" s="315"/>
      <c r="Q5" s="65" t="s">
        <v>124</v>
      </c>
      <c r="R5" s="144">
        <v>2</v>
      </c>
      <c r="S5" s="147">
        <f>R5*1</f>
        <v>2</v>
      </c>
      <c r="T5" s="313"/>
    </row>
    <row r="6" spans="1:20" ht="15" customHeight="1" thickBot="1" x14ac:dyDescent="0.3">
      <c r="A6" s="306"/>
      <c r="B6" s="317"/>
      <c r="C6" s="71" t="s">
        <v>34</v>
      </c>
      <c r="D6" s="64">
        <v>2</v>
      </c>
      <c r="E6" s="66">
        <f>D6*Plomberie!B42</f>
        <v>1</v>
      </c>
      <c r="I6" s="133"/>
      <c r="J6" s="306"/>
      <c r="K6" s="185"/>
      <c r="M6" s="138" t="s">
        <v>132</v>
      </c>
      <c r="N6" s="149">
        <f>SUM(N3:N5)</f>
        <v>5.5</v>
      </c>
      <c r="O6" s="160">
        <f>8.8239*(N6^0.3094)</f>
        <v>14.953015854598442</v>
      </c>
      <c r="Q6" s="65" t="s">
        <v>125</v>
      </c>
      <c r="R6" s="144">
        <v>1</v>
      </c>
      <c r="S6" s="148">
        <f>R6*1</f>
        <v>1</v>
      </c>
      <c r="T6" s="313"/>
    </row>
    <row r="7" spans="1:20" ht="15.75" thickBot="1" x14ac:dyDescent="0.3">
      <c r="A7" s="306"/>
      <c r="B7" s="317"/>
      <c r="C7" s="70" t="s">
        <v>9</v>
      </c>
      <c r="D7" s="64">
        <v>2</v>
      </c>
      <c r="E7" s="66">
        <f>D7*Plomberie!B43</f>
        <v>2</v>
      </c>
      <c r="I7" s="133"/>
      <c r="J7" s="306"/>
      <c r="K7" s="185"/>
      <c r="N7" s="132"/>
      <c r="O7" s="132"/>
      <c r="Q7" s="67" t="s">
        <v>9</v>
      </c>
      <c r="R7" s="145">
        <v>2</v>
      </c>
      <c r="S7" s="151">
        <f>R7*1</f>
        <v>2</v>
      </c>
      <c r="T7" s="314"/>
    </row>
    <row r="8" spans="1:20" ht="15" customHeight="1" thickBot="1" x14ac:dyDescent="0.3">
      <c r="A8" s="306"/>
      <c r="B8" s="317"/>
      <c r="C8" s="70" t="s">
        <v>41</v>
      </c>
      <c r="D8" s="64">
        <v>2</v>
      </c>
      <c r="E8" s="66">
        <f>D8*Plomberie!B44</f>
        <v>2</v>
      </c>
      <c r="I8" s="133"/>
      <c r="J8" s="306"/>
      <c r="K8" s="192"/>
      <c r="L8" s="189" t="s">
        <v>128</v>
      </c>
      <c r="M8" s="139" t="s">
        <v>122</v>
      </c>
      <c r="N8" s="153" t="s">
        <v>133</v>
      </c>
      <c r="O8" s="266" t="s">
        <v>185</v>
      </c>
      <c r="R8" s="143" t="s">
        <v>132</v>
      </c>
      <c r="S8" s="152">
        <f>SUM(S3:S7)</f>
        <v>8.5</v>
      </c>
      <c r="T8" s="158">
        <f>8.8239*(S8^0.3094)</f>
        <v>17.10892778821832</v>
      </c>
    </row>
    <row r="9" spans="1:20" ht="15.75" thickBot="1" x14ac:dyDescent="0.3">
      <c r="A9" s="306"/>
      <c r="B9" s="317"/>
      <c r="C9" s="70" t="s">
        <v>58</v>
      </c>
      <c r="D9" s="64">
        <v>2</v>
      </c>
      <c r="E9" s="66">
        <f>D9*Plomberie!B45</f>
        <v>2</v>
      </c>
      <c r="I9" s="133"/>
      <c r="J9" s="306"/>
      <c r="K9" s="192"/>
      <c r="L9" s="183" t="s">
        <v>5</v>
      </c>
      <c r="M9" s="144">
        <v>1</v>
      </c>
      <c r="N9" s="147">
        <f>M9*1.5</f>
        <v>1.5</v>
      </c>
      <c r="O9" s="315"/>
      <c r="R9" s="187"/>
      <c r="S9" s="188"/>
    </row>
    <row r="10" spans="1:20" ht="15" customHeight="1" x14ac:dyDescent="0.25">
      <c r="A10" s="306"/>
      <c r="B10" s="317"/>
      <c r="C10" s="70" t="s">
        <v>5</v>
      </c>
      <c r="D10" s="64">
        <v>2</v>
      </c>
      <c r="E10" s="66">
        <f>D10*Plomberie!B46</f>
        <v>3</v>
      </c>
      <c r="I10" s="133"/>
      <c r="J10" s="306"/>
      <c r="K10" s="192"/>
      <c r="L10" s="183" t="s">
        <v>11</v>
      </c>
      <c r="M10" s="144">
        <v>250</v>
      </c>
      <c r="N10" s="147">
        <f>IF(M10&lt;=150,M10*3,IF(M10&gt;150,3+(M10-150)*0.03,0))</f>
        <v>6</v>
      </c>
      <c r="O10" s="315"/>
      <c r="Q10" s="190" t="s">
        <v>130</v>
      </c>
      <c r="R10" s="139" t="s">
        <v>122</v>
      </c>
      <c r="S10" s="146" t="s">
        <v>133</v>
      </c>
      <c r="T10" s="266" t="s">
        <v>185</v>
      </c>
    </row>
    <row r="11" spans="1:20" x14ac:dyDescent="0.25">
      <c r="A11" s="306"/>
      <c r="B11" s="317"/>
      <c r="C11" s="70" t="s">
        <v>8</v>
      </c>
      <c r="D11" s="64">
        <v>1</v>
      </c>
      <c r="E11" s="66">
        <f>D11*Plomberie!B47</f>
        <v>2</v>
      </c>
      <c r="I11" s="133"/>
      <c r="J11" s="306"/>
      <c r="K11" s="192"/>
      <c r="L11" s="183" t="s">
        <v>8</v>
      </c>
      <c r="M11" s="144">
        <v>1</v>
      </c>
      <c r="N11" s="147">
        <f>M11*2</f>
        <v>2</v>
      </c>
      <c r="O11" s="315"/>
      <c r="Q11" s="65" t="s">
        <v>124</v>
      </c>
      <c r="R11" s="144">
        <v>2</v>
      </c>
      <c r="S11" s="147">
        <f>R11*1</f>
        <v>2</v>
      </c>
      <c r="T11" s="315"/>
    </row>
    <row r="12" spans="1:20" ht="15" customHeight="1" thickBot="1" x14ac:dyDescent="0.3">
      <c r="A12" s="306"/>
      <c r="B12" s="317"/>
      <c r="C12" s="70" t="s">
        <v>36</v>
      </c>
      <c r="D12" s="64">
        <v>0</v>
      </c>
      <c r="E12" s="66">
        <f>D12*Plomberie!B48</f>
        <v>0</v>
      </c>
      <c r="I12" s="133"/>
      <c r="J12" s="306"/>
      <c r="K12" s="192"/>
      <c r="L12" s="183" t="s">
        <v>124</v>
      </c>
      <c r="M12" s="144">
        <v>1</v>
      </c>
      <c r="N12" s="147">
        <f>M12*1</f>
        <v>1</v>
      </c>
      <c r="O12" s="315"/>
      <c r="Q12" s="67" t="s">
        <v>104</v>
      </c>
      <c r="R12" s="145">
        <v>1</v>
      </c>
      <c r="S12" s="151">
        <f>R12*0.5</f>
        <v>0.5</v>
      </c>
      <c r="T12" s="315"/>
    </row>
    <row r="13" spans="1:20" ht="15.75" thickBot="1" x14ac:dyDescent="0.3">
      <c r="A13" s="306"/>
      <c r="B13" s="317"/>
      <c r="C13" s="70" t="s">
        <v>16</v>
      </c>
      <c r="D13" s="64">
        <v>1</v>
      </c>
      <c r="E13" s="66">
        <f>D13*Plomberie!B49</f>
        <v>2.5</v>
      </c>
      <c r="I13" s="134"/>
      <c r="J13" s="306"/>
      <c r="K13" s="192"/>
      <c r="L13" s="183" t="s">
        <v>125</v>
      </c>
      <c r="M13" s="144">
        <v>2</v>
      </c>
      <c r="N13" s="147">
        <f>M13*1</f>
        <v>2</v>
      </c>
      <c r="O13" s="315"/>
      <c r="R13" s="143" t="s">
        <v>132</v>
      </c>
      <c r="S13" s="152">
        <f>SUM(S11:S12)</f>
        <v>2.5</v>
      </c>
      <c r="T13" s="158">
        <f>8.8239*(S13^0.3094)</f>
        <v>11.716103952246273</v>
      </c>
    </row>
    <row r="14" spans="1:20" ht="15" customHeight="1" thickBot="1" x14ac:dyDescent="0.3">
      <c r="A14" s="306"/>
      <c r="B14" s="317"/>
      <c r="C14" s="70" t="s">
        <v>37</v>
      </c>
      <c r="D14" s="64">
        <v>2</v>
      </c>
      <c r="E14" s="66">
        <f>D14*Plomberie!B50</f>
        <v>5</v>
      </c>
      <c r="I14" s="135"/>
      <c r="J14" s="306"/>
      <c r="K14" s="192"/>
      <c r="L14" s="184" t="s">
        <v>9</v>
      </c>
      <c r="M14" s="145">
        <v>1</v>
      </c>
      <c r="N14" s="147">
        <f>M14*1</f>
        <v>1</v>
      </c>
      <c r="O14" s="315"/>
      <c r="R14" s="187"/>
      <c r="S14" s="188"/>
    </row>
    <row r="15" spans="1:20" ht="15.75" thickBot="1" x14ac:dyDescent="0.3">
      <c r="A15" s="307"/>
      <c r="B15" s="318"/>
      <c r="C15" s="100" t="s">
        <v>38</v>
      </c>
      <c r="D15" s="68">
        <v>1</v>
      </c>
      <c r="E15" s="69">
        <f>D15*Plomberie!B51</f>
        <v>3</v>
      </c>
      <c r="I15" s="133"/>
      <c r="J15" s="306"/>
      <c r="K15" s="185"/>
      <c r="M15" s="138" t="s">
        <v>132</v>
      </c>
      <c r="N15" s="151">
        <f>SUM(N9:N14)</f>
        <v>13.5</v>
      </c>
      <c r="O15" s="159">
        <f>8.8239*(N15^0.3094)</f>
        <v>19.741758987953943</v>
      </c>
      <c r="Q15" s="190" t="s">
        <v>131</v>
      </c>
      <c r="R15" s="139" t="s">
        <v>122</v>
      </c>
      <c r="S15" s="146" t="s">
        <v>133</v>
      </c>
      <c r="T15" s="266" t="s">
        <v>185</v>
      </c>
    </row>
    <row r="16" spans="1:20" ht="15.75" customHeight="1" thickBot="1" x14ac:dyDescent="0.3">
      <c r="B16" s="72"/>
      <c r="C16" s="97"/>
      <c r="D16" s="72"/>
      <c r="E16" s="72"/>
      <c r="F16" s="72"/>
      <c r="G16" s="72"/>
      <c r="H16" s="72"/>
      <c r="I16" s="133"/>
      <c r="J16" s="306"/>
      <c r="K16" s="185"/>
      <c r="Q16" s="65" t="s">
        <v>125</v>
      </c>
      <c r="R16" s="144">
        <v>2</v>
      </c>
      <c r="S16" s="147">
        <f>R16*1</f>
        <v>2</v>
      </c>
      <c r="T16" s="315"/>
    </row>
    <row r="17" spans="2:20" ht="30.75" thickBot="1" x14ac:dyDescent="0.3">
      <c r="B17" s="72"/>
      <c r="C17" s="98"/>
      <c r="D17" s="227" t="s">
        <v>172</v>
      </c>
      <c r="E17" s="228" t="s">
        <v>173</v>
      </c>
      <c r="F17" s="235" t="s">
        <v>184</v>
      </c>
      <c r="H17" s="230"/>
      <c r="I17" s="133"/>
      <c r="J17" s="306"/>
      <c r="K17" s="185"/>
      <c r="L17" s="72"/>
      <c r="Q17" s="67" t="s">
        <v>104</v>
      </c>
      <c r="R17" s="145">
        <v>2</v>
      </c>
      <c r="S17" s="151">
        <f>R17*0.5</f>
        <v>1</v>
      </c>
      <c r="T17" s="315"/>
    </row>
    <row r="18" spans="2:20" ht="15.75" customHeight="1" thickBot="1" x14ac:dyDescent="0.3">
      <c r="B18" s="72"/>
      <c r="C18" s="182" t="s">
        <v>54</v>
      </c>
      <c r="D18" s="67">
        <f>SUM(D3:D15)</f>
        <v>19</v>
      </c>
      <c r="E18" s="106">
        <f>SUM(E3:E15)</f>
        <v>24.5</v>
      </c>
      <c r="F18" s="107">
        <f>8.8239*(E18^0.3094)</f>
        <v>23.739335824550224</v>
      </c>
      <c r="H18" s="229"/>
      <c r="I18" s="133"/>
      <c r="J18" s="306"/>
      <c r="K18" s="185"/>
      <c r="L18" s="72"/>
      <c r="R18" s="143" t="s">
        <v>132</v>
      </c>
      <c r="S18" s="152">
        <f>SUM(S16:S17)</f>
        <v>3</v>
      </c>
      <c r="T18" s="159">
        <f>8.8239*(S18^0.3094)</f>
        <v>12.396009313694414</v>
      </c>
    </row>
    <row r="19" spans="2:20" ht="15.75" thickBot="1" x14ac:dyDescent="0.3">
      <c r="B19" s="72"/>
      <c r="I19" s="133"/>
      <c r="J19" s="306"/>
      <c r="K19" s="185"/>
      <c r="L19" s="72"/>
      <c r="S19" s="105"/>
    </row>
    <row r="20" spans="2:20" ht="30.75" thickBot="1" x14ac:dyDescent="0.3">
      <c r="B20" s="193"/>
      <c r="C20" s="193"/>
      <c r="D20" s="193"/>
      <c r="I20" s="133"/>
      <c r="J20" s="306"/>
      <c r="K20" s="185"/>
      <c r="O20" s="174" t="s">
        <v>151</v>
      </c>
      <c r="P20" s="175" t="s">
        <v>152</v>
      </c>
      <c r="Q20" s="175" t="s">
        <v>153</v>
      </c>
      <c r="R20" s="175" t="s">
        <v>154</v>
      </c>
      <c r="S20" s="176" t="s">
        <v>155</v>
      </c>
    </row>
    <row r="21" spans="2:20" ht="30.75" customHeight="1" thickBot="1" x14ac:dyDescent="0.3">
      <c r="B21" s="193"/>
      <c r="C21" s="180" t="s">
        <v>156</v>
      </c>
      <c r="D21" s="193"/>
      <c r="F21" s="177"/>
      <c r="G21" s="177"/>
      <c r="H21" s="177"/>
      <c r="I21" s="133"/>
      <c r="J21" s="307"/>
      <c r="K21" s="185"/>
      <c r="N21" s="194" t="s">
        <v>157</v>
      </c>
      <c r="O21" s="186" t="str">
        <f>IF(J3="Cuivre",VLOOKUP(O6,Plomberie!B55:E99,2,TRUE),IF(J3="PVC pression",VLOOKUP(O6,Plomberie!B55:E99,3,TRUE),IF(J3="PER", VLOOKUP(O6,Plomberie!B55:E99,4,TRUE),"OUPS")))</f>
        <v>16/18</v>
      </c>
      <c r="P21" s="172" t="str">
        <f>IF(J3="Cuivre",VLOOKUP(O15,Plomberie!B55:E99,2,TRUE),IF(J3="PVC pression",VLOOKUP(O15,Plomberie!B55:E99,3,TRUE),IF(J3="PER", VLOOKUP(O15,Plomberie!B55:E99,4,TRUE),"OUPS")))</f>
        <v>20/22</v>
      </c>
      <c r="Q21" s="172" t="str">
        <f>IF(J3="Cuivre",VLOOKUP(T8,Plomberie!B55:E99,2,TRUE),IF(J3="PVC pression",VLOOKUP(T8,Plomberie!B55:E99,3,TRUE),IF(J3="PER", VLOOKUP(T8,Plomberie!B55:E99,4,TRUE),"OUPS")))</f>
        <v>18/20</v>
      </c>
      <c r="R21" s="172" t="str">
        <f>IF(J3="Cuivre",VLOOKUP(T13,Plomberie!B55:E99,2,TRUE),IF(J3="PVC pression",VLOOKUP(T13,Plomberie!B55:E99,3,TRUE),IF(J3="PER", VLOOKUP(T13,Plomberie!B55:E99,4,TRUE),"OUPS")))</f>
        <v>12/14</v>
      </c>
      <c r="S21" s="173" t="str">
        <f>IF(J3="Cuivre",VLOOKUP(T18,Plomberie!B55:E99,2,TRUE),IF(J3="PVC pression",VLOOKUP(T18,Plomberie!B55:E99,3,TRUE),IF(J3="PER", VLOOKUP(T18,Plomberie!B55:E99,4,TRUE),"OUPS")))</f>
        <v>12/14</v>
      </c>
    </row>
    <row r="22" spans="2:20" ht="20.25" customHeight="1" thickBot="1" x14ac:dyDescent="0.3">
      <c r="B22" s="203"/>
      <c r="C22" s="181" t="str">
        <f>A3</f>
        <v>Cuivre</v>
      </c>
      <c r="D22" s="193"/>
      <c r="F22" s="177"/>
      <c r="G22" s="177"/>
      <c r="H22" s="177"/>
      <c r="I22" s="133"/>
      <c r="J22" s="73"/>
      <c r="K22" s="73"/>
    </row>
    <row r="23" spans="2:20" ht="19.5" customHeight="1" thickBot="1" x14ac:dyDescent="0.3">
      <c r="B23" s="204" t="s">
        <v>45</v>
      </c>
      <c r="C23" s="179" t="str">
        <f>IF(A3="Cuivre",VLOOKUP(F18,Plomberie!B55:E99,2,TRUE),IF(A3="PVC pression",VLOOKUP(F18,Plomberie!B55:E99,3,TRUE),IF(A3="PER", VLOOKUP(F18,Plomberie!B55:E99,4,TRUE),"OUPS")))</f>
        <v>24/26</v>
      </c>
      <c r="D23" s="193"/>
      <c r="F23" s="178"/>
      <c r="G23" s="178"/>
      <c r="H23" s="178"/>
      <c r="I23" s="133"/>
      <c r="J23" s="73"/>
      <c r="K23" s="73"/>
      <c r="M23" t="s">
        <v>123</v>
      </c>
    </row>
    <row r="24" spans="2:20" x14ac:dyDescent="0.25">
      <c r="B24" s="193"/>
      <c r="C24" s="193"/>
      <c r="D24" s="193"/>
      <c r="I24" s="133"/>
    </row>
    <row r="25" spans="2:20" x14ac:dyDescent="0.25">
      <c r="B25" s="193"/>
      <c r="C25" s="193"/>
      <c r="D25" s="193"/>
      <c r="I25" s="133"/>
    </row>
    <row r="26" spans="2:20" ht="15.75" thickBot="1" x14ac:dyDescent="0.3"/>
    <row r="27" spans="2:20" ht="15.75" thickBot="1" x14ac:dyDescent="0.3">
      <c r="C27" s="137" t="s">
        <v>136</v>
      </c>
      <c r="D27" s="10" t="s">
        <v>183</v>
      </c>
      <c r="E27" s="10" t="s">
        <v>57</v>
      </c>
      <c r="F27" s="265" t="s">
        <v>182</v>
      </c>
      <c r="G27" s="10" t="s">
        <v>180</v>
      </c>
      <c r="H27" s="99" t="s">
        <v>181</v>
      </c>
    </row>
    <row r="28" spans="2:20" ht="15.75" thickTop="1" x14ac:dyDescent="0.25">
      <c r="C28" s="244" t="s">
        <v>33</v>
      </c>
      <c r="D28" s="64">
        <v>0.2</v>
      </c>
      <c r="E28" s="64">
        <f>D3</f>
        <v>1</v>
      </c>
      <c r="F28" s="64">
        <f t="shared" ref="F28:F40" si="0">D28*E28</f>
        <v>0.2</v>
      </c>
      <c r="G28" s="301"/>
      <c r="H28" s="303"/>
    </row>
    <row r="29" spans="2:20" x14ac:dyDescent="0.25">
      <c r="C29" s="245" t="s">
        <v>20</v>
      </c>
      <c r="D29" s="64">
        <v>0.15</v>
      </c>
      <c r="E29" s="64">
        <f t="shared" ref="E29:E33" si="1">D4</f>
        <v>1</v>
      </c>
      <c r="F29" s="64">
        <f t="shared" si="0"/>
        <v>0.15</v>
      </c>
      <c r="G29" s="302"/>
      <c r="H29" s="304"/>
    </row>
    <row r="30" spans="2:20" x14ac:dyDescent="0.25">
      <c r="C30" s="245" t="s">
        <v>14</v>
      </c>
      <c r="D30" s="64">
        <v>0.1</v>
      </c>
      <c r="E30" s="64">
        <f t="shared" si="1"/>
        <v>2</v>
      </c>
      <c r="F30" s="64">
        <f t="shared" si="0"/>
        <v>0.2</v>
      </c>
      <c r="G30" s="302"/>
      <c r="H30" s="304"/>
    </row>
    <row r="31" spans="2:20" x14ac:dyDescent="0.25">
      <c r="C31" s="246" t="s">
        <v>34</v>
      </c>
      <c r="D31" s="64">
        <v>0.2</v>
      </c>
      <c r="E31" s="64">
        <f t="shared" si="1"/>
        <v>2</v>
      </c>
      <c r="F31" s="64">
        <f t="shared" si="0"/>
        <v>0.4</v>
      </c>
      <c r="G31" s="302"/>
      <c r="H31" s="304"/>
    </row>
    <row r="32" spans="2:20" x14ac:dyDescent="0.25">
      <c r="C32" s="245" t="s">
        <v>9</v>
      </c>
      <c r="D32" s="64">
        <v>0.2</v>
      </c>
      <c r="E32" s="64">
        <f t="shared" si="1"/>
        <v>2</v>
      </c>
      <c r="F32" s="64">
        <f t="shared" si="0"/>
        <v>0.4</v>
      </c>
      <c r="G32" s="302"/>
      <c r="H32" s="304"/>
    </row>
    <row r="33" spans="3:8" x14ac:dyDescent="0.25">
      <c r="C33" s="245" t="s">
        <v>41</v>
      </c>
      <c r="D33" s="64">
        <v>0.12</v>
      </c>
      <c r="E33" s="64">
        <f t="shared" si="1"/>
        <v>2</v>
      </c>
      <c r="F33" s="64">
        <f t="shared" si="0"/>
        <v>0.24</v>
      </c>
      <c r="G33" s="302"/>
      <c r="H33" s="304"/>
    </row>
    <row r="34" spans="3:8" x14ac:dyDescent="0.25">
      <c r="C34" s="245" t="s">
        <v>175</v>
      </c>
      <c r="D34" s="64">
        <v>0.2</v>
      </c>
      <c r="E34" s="64">
        <f>D9</f>
        <v>2</v>
      </c>
      <c r="F34" s="64">
        <f t="shared" si="0"/>
        <v>0.4</v>
      </c>
      <c r="G34" s="302"/>
      <c r="H34" s="304"/>
    </row>
    <row r="35" spans="3:8" x14ac:dyDescent="0.25">
      <c r="C35" s="245" t="s">
        <v>5</v>
      </c>
      <c r="D35" s="64">
        <v>0.2</v>
      </c>
      <c r="E35" s="64">
        <f>D10</f>
        <v>2</v>
      </c>
      <c r="F35" s="64">
        <f t="shared" si="0"/>
        <v>0.4</v>
      </c>
      <c r="G35" s="302"/>
      <c r="H35" s="304"/>
    </row>
    <row r="36" spans="3:8" x14ac:dyDescent="0.25">
      <c r="C36" s="245" t="s">
        <v>8</v>
      </c>
      <c r="D36" s="64">
        <v>0.2</v>
      </c>
      <c r="E36" s="64">
        <f t="shared" ref="E36:E40" si="2">D11</f>
        <v>1</v>
      </c>
      <c r="F36" s="64">
        <f t="shared" si="0"/>
        <v>0.2</v>
      </c>
      <c r="G36" s="302"/>
      <c r="H36" s="304"/>
    </row>
    <row r="37" spans="3:8" x14ac:dyDescent="0.25">
      <c r="C37" s="245" t="s">
        <v>36</v>
      </c>
      <c r="D37" s="64">
        <v>0.33</v>
      </c>
      <c r="E37" s="64">
        <f t="shared" si="2"/>
        <v>0</v>
      </c>
      <c r="F37" s="64">
        <f t="shared" si="0"/>
        <v>0</v>
      </c>
      <c r="G37" s="302"/>
      <c r="H37" s="304"/>
    </row>
    <row r="38" spans="3:8" x14ac:dyDescent="0.25">
      <c r="C38" s="245" t="s">
        <v>16</v>
      </c>
      <c r="D38" s="64">
        <v>0.2</v>
      </c>
      <c r="E38" s="64">
        <f t="shared" si="2"/>
        <v>1</v>
      </c>
      <c r="F38" s="64">
        <f t="shared" si="0"/>
        <v>0.2</v>
      </c>
      <c r="G38" s="302"/>
      <c r="H38" s="304"/>
    </row>
    <row r="39" spans="3:8" x14ac:dyDescent="0.25">
      <c r="C39" s="245" t="s">
        <v>37</v>
      </c>
      <c r="D39" s="64">
        <v>0.2</v>
      </c>
      <c r="E39" s="64">
        <f t="shared" si="2"/>
        <v>2</v>
      </c>
      <c r="F39" s="64">
        <f t="shared" si="0"/>
        <v>0.4</v>
      </c>
      <c r="G39" s="302"/>
      <c r="H39" s="304"/>
    </row>
    <row r="40" spans="3:8" ht="15.75" thickBot="1" x14ac:dyDescent="0.3">
      <c r="C40" s="247" t="s">
        <v>11</v>
      </c>
      <c r="D40" s="238">
        <v>0.33</v>
      </c>
      <c r="E40" s="64">
        <f t="shared" si="2"/>
        <v>1</v>
      </c>
      <c r="F40" s="238">
        <f t="shared" si="0"/>
        <v>0.33</v>
      </c>
      <c r="G40" s="302"/>
      <c r="H40" s="305"/>
    </row>
    <row r="41" spans="3:8" ht="15.75" thickBot="1" x14ac:dyDescent="0.3">
      <c r="D41" s="239" t="s">
        <v>54</v>
      </c>
      <c r="E41" s="240">
        <f>SUM(E28:E40)</f>
        <v>19</v>
      </c>
      <c r="F41" s="240">
        <f>SUM(F28:F40)</f>
        <v>3.5200000000000005</v>
      </c>
      <c r="G41" s="241">
        <f>0.8/(SQRT(E41-1))</f>
        <v>0.1885618083164127</v>
      </c>
      <c r="H41" s="242">
        <f>F41*G41</f>
        <v>0.66373756527377281</v>
      </c>
    </row>
  </sheetData>
  <mergeCells count="12">
    <mergeCell ref="G28:G40"/>
    <mergeCell ref="H28:H40"/>
    <mergeCell ref="A3:A15"/>
    <mergeCell ref="A1:F1"/>
    <mergeCell ref="L1:T1"/>
    <mergeCell ref="T3:T7"/>
    <mergeCell ref="T11:T12"/>
    <mergeCell ref="T16:T17"/>
    <mergeCell ref="B4:B15"/>
    <mergeCell ref="J3:J21"/>
    <mergeCell ref="O3:O5"/>
    <mergeCell ref="O9:O14"/>
  </mergeCells>
  <dataValidations xWindow="74" yWindow="286" count="1">
    <dataValidation errorStyle="information" showInputMessage="1" showErrorMessage="1" errorTitle="Error selection" error="Number between 0 and 20" promptTitle="Number of appareil" sqref="E28:E40"/>
  </dataValidations>
  <pageMargins left="0.7" right="0.7" top="0.75" bottom="0.75" header="0.3" footer="0.3"/>
  <pageSetup orientation="portrait" horizontalDpi="4294967292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alcul">
                <anchor moveWithCells="1" sizeWithCells="1">
                  <from>
                    <xdr:col>11</xdr:col>
                    <xdr:colOff>9525</xdr:colOff>
                    <xdr:row>18</xdr:row>
                    <xdr:rowOff>9525</xdr:rowOff>
                  </from>
                  <to>
                    <xdr:col>12</xdr:col>
                    <xdr:colOff>0</xdr:colOff>
                    <xdr:row>18</xdr:row>
                    <xdr:rowOff>381000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xWindow="74" yWindow="286" count="6">
        <x14:dataValidation type="list" errorStyle="information" showInputMessage="1" showErrorMessage="1" errorTitle="Error selection" error="Number between 0 and 20" promptTitle="Number of appareil">
          <x14:formula1>
            <xm:f>Plomberie!$D$31:$D$50</xm:f>
          </x14:formula1>
          <xm:sqref>D3:D16 E16</xm:sqref>
        </x14:dataValidation>
        <x14:dataValidation type="list" allowBlank="1" showInputMessage="1" showErrorMessage="1">
          <x14:formula1>
            <xm:f>Plomberie!$F$31:$F$33</xm:f>
          </x14:formula1>
          <xm:sqref>K3</xm:sqref>
        </x14:dataValidation>
        <x14:dataValidation type="list" allowBlank="1" showInputMessage="1" showErrorMessage="1">
          <x14:formula1>
            <xm:f>Plomberie!$D$31:$D$40</xm:f>
          </x14:formula1>
          <xm:sqref>M3:M5 M11:M14 M9 R11:R12 R3:R7 R16:R17</xm:sqref>
        </x14:dataValidation>
        <x14:dataValidation type="list" errorStyle="information" allowBlank="1" showInputMessage="1" errorTitle="Error" error="Choisir le type du materiau à utiliser" promptTitle="Lire ici" prompt="Veuillez choisir le type du materiau à utiliser">
          <x14:formula1>
            <xm:f>Plomberie!$F$31:$F$33</xm:f>
          </x14:formula1>
          <xm:sqref>J3:J21</xm:sqref>
        </x14:dataValidation>
        <x14:dataValidation type="list" errorStyle="warning" allowBlank="1" showInputMessage="1" error="Choisir le type du materiau à utiliser" promptTitle="Info1:" prompt="Choisir le type du materiau à utiliser">
          <x14:formula1>
            <xm:f>Plomberie!$F$31:$F$33</xm:f>
          </x14:formula1>
          <xm:sqref>A3:A15</xm:sqref>
        </x14:dataValidation>
        <x14:dataValidation type="list" allowBlank="1" showInputMessage="1" showErrorMessage="1" promptTitle="Select Type">
          <x14:formula1>
            <xm:f>Données!$D$23:$D$24</xm:f>
          </x14:formula1>
          <xm:sqref>B3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V182"/>
  <sheetViews>
    <sheetView topLeftCell="A21" zoomScale="80" zoomScaleNormal="80" workbookViewId="0">
      <selection activeCell="P26" sqref="P26"/>
    </sheetView>
  </sheetViews>
  <sheetFormatPr defaultRowHeight="12.75" x14ac:dyDescent="0.2"/>
  <cols>
    <col min="1" max="1" width="26.7109375" style="73" customWidth="1"/>
    <col min="2" max="2" width="23.7109375" style="91" bestFit="1" customWidth="1"/>
    <col min="3" max="3" width="12.85546875" style="91" customWidth="1"/>
    <col min="4" max="4" width="14.5703125" style="91" bestFit="1" customWidth="1"/>
    <col min="5" max="5" width="16" style="91" customWidth="1"/>
    <col min="6" max="6" width="18.42578125" style="91" customWidth="1"/>
    <col min="7" max="7" width="11.42578125" style="73" customWidth="1"/>
    <col min="8" max="8" width="12" style="73" bestFit="1" customWidth="1"/>
    <col min="9" max="9" width="15" style="73" bestFit="1" customWidth="1"/>
    <col min="10" max="257" width="11.42578125" style="73" customWidth="1"/>
    <col min="258" max="258" width="26.7109375" style="73" customWidth="1"/>
    <col min="259" max="259" width="12.5703125" style="73" bestFit="1" customWidth="1"/>
    <col min="260" max="260" width="12.85546875" style="73" customWidth="1"/>
    <col min="261" max="261" width="24.28515625" style="73" customWidth="1"/>
    <col min="262" max="262" width="23.42578125" style="73" customWidth="1"/>
    <col min="263" max="263" width="7.5703125" style="73" customWidth="1"/>
    <col min="264" max="513" width="11.42578125" style="73" customWidth="1"/>
    <col min="514" max="514" width="26.7109375" style="73" customWidth="1"/>
    <col min="515" max="515" width="12.5703125" style="73" bestFit="1" customWidth="1"/>
    <col min="516" max="516" width="12.85546875" style="73" customWidth="1"/>
    <col min="517" max="517" width="24.28515625" style="73" customWidth="1"/>
    <col min="518" max="518" width="23.42578125" style="73" customWidth="1"/>
    <col min="519" max="519" width="7.5703125" style="73" customWidth="1"/>
    <col min="520" max="769" width="11.42578125" style="73" customWidth="1"/>
    <col min="770" max="770" width="26.7109375" style="73" customWidth="1"/>
    <col min="771" max="771" width="12.5703125" style="73" bestFit="1" customWidth="1"/>
    <col min="772" max="772" width="12.85546875" style="73" customWidth="1"/>
    <col min="773" max="773" width="24.28515625" style="73" customWidth="1"/>
    <col min="774" max="774" width="23.42578125" style="73" customWidth="1"/>
    <col min="775" max="775" width="7.5703125" style="73" customWidth="1"/>
    <col min="776" max="1025" width="11.42578125" style="73" customWidth="1"/>
    <col min="1026" max="1026" width="26.7109375" style="73" customWidth="1"/>
    <col min="1027" max="1027" width="12.5703125" style="73" bestFit="1" customWidth="1"/>
    <col min="1028" max="1028" width="12.85546875" style="73" customWidth="1"/>
    <col min="1029" max="1029" width="24.28515625" style="73" customWidth="1"/>
    <col min="1030" max="1030" width="23.42578125" style="73" customWidth="1"/>
    <col min="1031" max="1031" width="7.5703125" style="73" customWidth="1"/>
    <col min="1032" max="1281" width="11.42578125" style="73" customWidth="1"/>
    <col min="1282" max="1282" width="26.7109375" style="73" customWidth="1"/>
    <col min="1283" max="1283" width="12.5703125" style="73" bestFit="1" customWidth="1"/>
    <col min="1284" max="1284" width="12.85546875" style="73" customWidth="1"/>
    <col min="1285" max="1285" width="24.28515625" style="73" customWidth="1"/>
    <col min="1286" max="1286" width="23.42578125" style="73" customWidth="1"/>
    <col min="1287" max="1287" width="7.5703125" style="73" customWidth="1"/>
    <col min="1288" max="1537" width="11.42578125" style="73" customWidth="1"/>
    <col min="1538" max="1538" width="26.7109375" style="73" customWidth="1"/>
    <col min="1539" max="1539" width="12.5703125" style="73" bestFit="1" customWidth="1"/>
    <col min="1540" max="1540" width="12.85546875" style="73" customWidth="1"/>
    <col min="1541" max="1541" width="24.28515625" style="73" customWidth="1"/>
    <col min="1542" max="1542" width="23.42578125" style="73" customWidth="1"/>
    <col min="1543" max="1543" width="7.5703125" style="73" customWidth="1"/>
    <col min="1544" max="1793" width="11.42578125" style="73" customWidth="1"/>
    <col min="1794" max="1794" width="26.7109375" style="73" customWidth="1"/>
    <col min="1795" max="1795" width="12.5703125" style="73" bestFit="1" customWidth="1"/>
    <col min="1796" max="1796" width="12.85546875" style="73" customWidth="1"/>
    <col min="1797" max="1797" width="24.28515625" style="73" customWidth="1"/>
    <col min="1798" max="1798" width="23.42578125" style="73" customWidth="1"/>
    <col min="1799" max="1799" width="7.5703125" style="73" customWidth="1"/>
    <col min="1800" max="2049" width="11.42578125" style="73" customWidth="1"/>
    <col min="2050" max="2050" width="26.7109375" style="73" customWidth="1"/>
    <col min="2051" max="2051" width="12.5703125" style="73" bestFit="1" customWidth="1"/>
    <col min="2052" max="2052" width="12.85546875" style="73" customWidth="1"/>
    <col min="2053" max="2053" width="24.28515625" style="73" customWidth="1"/>
    <col min="2054" max="2054" width="23.42578125" style="73" customWidth="1"/>
    <col min="2055" max="2055" width="7.5703125" style="73" customWidth="1"/>
    <col min="2056" max="2305" width="11.42578125" style="73" customWidth="1"/>
    <col min="2306" max="2306" width="26.7109375" style="73" customWidth="1"/>
    <col min="2307" max="2307" width="12.5703125" style="73" bestFit="1" customWidth="1"/>
    <col min="2308" max="2308" width="12.85546875" style="73" customWidth="1"/>
    <col min="2309" max="2309" width="24.28515625" style="73" customWidth="1"/>
    <col min="2310" max="2310" width="23.42578125" style="73" customWidth="1"/>
    <col min="2311" max="2311" width="7.5703125" style="73" customWidth="1"/>
    <col min="2312" max="2561" width="11.42578125" style="73" customWidth="1"/>
    <col min="2562" max="2562" width="26.7109375" style="73" customWidth="1"/>
    <col min="2563" max="2563" width="12.5703125" style="73" bestFit="1" customWidth="1"/>
    <col min="2564" max="2564" width="12.85546875" style="73" customWidth="1"/>
    <col min="2565" max="2565" width="24.28515625" style="73" customWidth="1"/>
    <col min="2566" max="2566" width="23.42578125" style="73" customWidth="1"/>
    <col min="2567" max="2567" width="7.5703125" style="73" customWidth="1"/>
    <col min="2568" max="2817" width="11.42578125" style="73" customWidth="1"/>
    <col min="2818" max="2818" width="26.7109375" style="73" customWidth="1"/>
    <col min="2819" max="2819" width="12.5703125" style="73" bestFit="1" customWidth="1"/>
    <col min="2820" max="2820" width="12.85546875" style="73" customWidth="1"/>
    <col min="2821" max="2821" width="24.28515625" style="73" customWidth="1"/>
    <col min="2822" max="2822" width="23.42578125" style="73" customWidth="1"/>
    <col min="2823" max="2823" width="7.5703125" style="73" customWidth="1"/>
    <col min="2824" max="3073" width="11.42578125" style="73" customWidth="1"/>
    <col min="3074" max="3074" width="26.7109375" style="73" customWidth="1"/>
    <col min="3075" max="3075" width="12.5703125" style="73" bestFit="1" customWidth="1"/>
    <col min="3076" max="3076" width="12.85546875" style="73" customWidth="1"/>
    <col min="3077" max="3077" width="24.28515625" style="73" customWidth="1"/>
    <col min="3078" max="3078" width="23.42578125" style="73" customWidth="1"/>
    <col min="3079" max="3079" width="7.5703125" style="73" customWidth="1"/>
    <col min="3080" max="3329" width="11.42578125" style="73" customWidth="1"/>
    <col min="3330" max="3330" width="26.7109375" style="73" customWidth="1"/>
    <col min="3331" max="3331" width="12.5703125" style="73" bestFit="1" customWidth="1"/>
    <col min="3332" max="3332" width="12.85546875" style="73" customWidth="1"/>
    <col min="3333" max="3333" width="24.28515625" style="73" customWidth="1"/>
    <col min="3334" max="3334" width="23.42578125" style="73" customWidth="1"/>
    <col min="3335" max="3335" width="7.5703125" style="73" customWidth="1"/>
    <col min="3336" max="3585" width="11.42578125" style="73" customWidth="1"/>
    <col min="3586" max="3586" width="26.7109375" style="73" customWidth="1"/>
    <col min="3587" max="3587" width="12.5703125" style="73" bestFit="1" customWidth="1"/>
    <col min="3588" max="3588" width="12.85546875" style="73" customWidth="1"/>
    <col min="3589" max="3589" width="24.28515625" style="73" customWidth="1"/>
    <col min="3590" max="3590" width="23.42578125" style="73" customWidth="1"/>
    <col min="3591" max="3591" width="7.5703125" style="73" customWidth="1"/>
    <col min="3592" max="3841" width="11.42578125" style="73" customWidth="1"/>
    <col min="3842" max="3842" width="26.7109375" style="73" customWidth="1"/>
    <col min="3843" max="3843" width="12.5703125" style="73" bestFit="1" customWidth="1"/>
    <col min="3844" max="3844" width="12.85546875" style="73" customWidth="1"/>
    <col min="3845" max="3845" width="24.28515625" style="73" customWidth="1"/>
    <col min="3846" max="3846" width="23.42578125" style="73" customWidth="1"/>
    <col min="3847" max="3847" width="7.5703125" style="73" customWidth="1"/>
    <col min="3848" max="4097" width="11.42578125" style="73" customWidth="1"/>
    <col min="4098" max="4098" width="26.7109375" style="73" customWidth="1"/>
    <col min="4099" max="4099" width="12.5703125" style="73" bestFit="1" customWidth="1"/>
    <col min="4100" max="4100" width="12.85546875" style="73" customWidth="1"/>
    <col min="4101" max="4101" width="24.28515625" style="73" customWidth="1"/>
    <col min="4102" max="4102" width="23.42578125" style="73" customWidth="1"/>
    <col min="4103" max="4103" width="7.5703125" style="73" customWidth="1"/>
    <col min="4104" max="4353" width="11.42578125" style="73" customWidth="1"/>
    <col min="4354" max="4354" width="26.7109375" style="73" customWidth="1"/>
    <col min="4355" max="4355" width="12.5703125" style="73" bestFit="1" customWidth="1"/>
    <col min="4356" max="4356" width="12.85546875" style="73" customWidth="1"/>
    <col min="4357" max="4357" width="24.28515625" style="73" customWidth="1"/>
    <col min="4358" max="4358" width="23.42578125" style="73" customWidth="1"/>
    <col min="4359" max="4359" width="7.5703125" style="73" customWidth="1"/>
    <col min="4360" max="4609" width="11.42578125" style="73" customWidth="1"/>
    <col min="4610" max="4610" width="26.7109375" style="73" customWidth="1"/>
    <col min="4611" max="4611" width="12.5703125" style="73" bestFit="1" customWidth="1"/>
    <col min="4612" max="4612" width="12.85546875" style="73" customWidth="1"/>
    <col min="4613" max="4613" width="24.28515625" style="73" customWidth="1"/>
    <col min="4614" max="4614" width="23.42578125" style="73" customWidth="1"/>
    <col min="4615" max="4615" width="7.5703125" style="73" customWidth="1"/>
    <col min="4616" max="4865" width="11.42578125" style="73" customWidth="1"/>
    <col min="4866" max="4866" width="26.7109375" style="73" customWidth="1"/>
    <col min="4867" max="4867" width="12.5703125" style="73" bestFit="1" customWidth="1"/>
    <col min="4868" max="4868" width="12.85546875" style="73" customWidth="1"/>
    <col min="4869" max="4869" width="24.28515625" style="73" customWidth="1"/>
    <col min="4870" max="4870" width="23.42578125" style="73" customWidth="1"/>
    <col min="4871" max="4871" width="7.5703125" style="73" customWidth="1"/>
    <col min="4872" max="5121" width="11.42578125" style="73" customWidth="1"/>
    <col min="5122" max="5122" width="26.7109375" style="73" customWidth="1"/>
    <col min="5123" max="5123" width="12.5703125" style="73" bestFit="1" customWidth="1"/>
    <col min="5124" max="5124" width="12.85546875" style="73" customWidth="1"/>
    <col min="5125" max="5125" width="24.28515625" style="73" customWidth="1"/>
    <col min="5126" max="5126" width="23.42578125" style="73" customWidth="1"/>
    <col min="5127" max="5127" width="7.5703125" style="73" customWidth="1"/>
    <col min="5128" max="5377" width="11.42578125" style="73" customWidth="1"/>
    <col min="5378" max="5378" width="26.7109375" style="73" customWidth="1"/>
    <col min="5379" max="5379" width="12.5703125" style="73" bestFit="1" customWidth="1"/>
    <col min="5380" max="5380" width="12.85546875" style="73" customWidth="1"/>
    <col min="5381" max="5381" width="24.28515625" style="73" customWidth="1"/>
    <col min="5382" max="5382" width="23.42578125" style="73" customWidth="1"/>
    <col min="5383" max="5383" width="7.5703125" style="73" customWidth="1"/>
    <col min="5384" max="5633" width="11.42578125" style="73" customWidth="1"/>
    <col min="5634" max="5634" width="26.7109375" style="73" customWidth="1"/>
    <col min="5635" max="5635" width="12.5703125" style="73" bestFit="1" customWidth="1"/>
    <col min="5636" max="5636" width="12.85546875" style="73" customWidth="1"/>
    <col min="5637" max="5637" width="24.28515625" style="73" customWidth="1"/>
    <col min="5638" max="5638" width="23.42578125" style="73" customWidth="1"/>
    <col min="5639" max="5639" width="7.5703125" style="73" customWidth="1"/>
    <col min="5640" max="5889" width="11.42578125" style="73" customWidth="1"/>
    <col min="5890" max="5890" width="26.7109375" style="73" customWidth="1"/>
    <col min="5891" max="5891" width="12.5703125" style="73" bestFit="1" customWidth="1"/>
    <col min="5892" max="5892" width="12.85546875" style="73" customWidth="1"/>
    <col min="5893" max="5893" width="24.28515625" style="73" customWidth="1"/>
    <col min="5894" max="5894" width="23.42578125" style="73" customWidth="1"/>
    <col min="5895" max="5895" width="7.5703125" style="73" customWidth="1"/>
    <col min="5896" max="6145" width="11.42578125" style="73" customWidth="1"/>
    <col min="6146" max="6146" width="26.7109375" style="73" customWidth="1"/>
    <col min="6147" max="6147" width="12.5703125" style="73" bestFit="1" customWidth="1"/>
    <col min="6148" max="6148" width="12.85546875" style="73" customWidth="1"/>
    <col min="6149" max="6149" width="24.28515625" style="73" customWidth="1"/>
    <col min="6150" max="6150" width="23.42578125" style="73" customWidth="1"/>
    <col min="6151" max="6151" width="7.5703125" style="73" customWidth="1"/>
    <col min="6152" max="6401" width="11.42578125" style="73" customWidth="1"/>
    <col min="6402" max="6402" width="26.7109375" style="73" customWidth="1"/>
    <col min="6403" max="6403" width="12.5703125" style="73" bestFit="1" customWidth="1"/>
    <col min="6404" max="6404" width="12.85546875" style="73" customWidth="1"/>
    <col min="6405" max="6405" width="24.28515625" style="73" customWidth="1"/>
    <col min="6406" max="6406" width="23.42578125" style="73" customWidth="1"/>
    <col min="6407" max="6407" width="7.5703125" style="73" customWidth="1"/>
    <col min="6408" max="6657" width="11.42578125" style="73" customWidth="1"/>
    <col min="6658" max="6658" width="26.7109375" style="73" customWidth="1"/>
    <col min="6659" max="6659" width="12.5703125" style="73" bestFit="1" customWidth="1"/>
    <col min="6660" max="6660" width="12.85546875" style="73" customWidth="1"/>
    <col min="6661" max="6661" width="24.28515625" style="73" customWidth="1"/>
    <col min="6662" max="6662" width="23.42578125" style="73" customWidth="1"/>
    <col min="6663" max="6663" width="7.5703125" style="73" customWidth="1"/>
    <col min="6664" max="6913" width="11.42578125" style="73" customWidth="1"/>
    <col min="6914" max="6914" width="26.7109375" style="73" customWidth="1"/>
    <col min="6915" max="6915" width="12.5703125" style="73" bestFit="1" customWidth="1"/>
    <col min="6916" max="6916" width="12.85546875" style="73" customWidth="1"/>
    <col min="6917" max="6917" width="24.28515625" style="73" customWidth="1"/>
    <col min="6918" max="6918" width="23.42578125" style="73" customWidth="1"/>
    <col min="6919" max="6919" width="7.5703125" style="73" customWidth="1"/>
    <col min="6920" max="7169" width="11.42578125" style="73" customWidth="1"/>
    <col min="7170" max="7170" width="26.7109375" style="73" customWidth="1"/>
    <col min="7171" max="7171" width="12.5703125" style="73" bestFit="1" customWidth="1"/>
    <col min="7172" max="7172" width="12.85546875" style="73" customWidth="1"/>
    <col min="7173" max="7173" width="24.28515625" style="73" customWidth="1"/>
    <col min="7174" max="7174" width="23.42578125" style="73" customWidth="1"/>
    <col min="7175" max="7175" width="7.5703125" style="73" customWidth="1"/>
    <col min="7176" max="7425" width="11.42578125" style="73" customWidth="1"/>
    <col min="7426" max="7426" width="26.7109375" style="73" customWidth="1"/>
    <col min="7427" max="7427" width="12.5703125" style="73" bestFit="1" customWidth="1"/>
    <col min="7428" max="7428" width="12.85546875" style="73" customWidth="1"/>
    <col min="7429" max="7429" width="24.28515625" style="73" customWidth="1"/>
    <col min="7430" max="7430" width="23.42578125" style="73" customWidth="1"/>
    <col min="7431" max="7431" width="7.5703125" style="73" customWidth="1"/>
    <col min="7432" max="7681" width="11.42578125" style="73" customWidth="1"/>
    <col min="7682" max="7682" width="26.7109375" style="73" customWidth="1"/>
    <col min="7683" max="7683" width="12.5703125" style="73" bestFit="1" customWidth="1"/>
    <col min="7684" max="7684" width="12.85546875" style="73" customWidth="1"/>
    <col min="7685" max="7685" width="24.28515625" style="73" customWidth="1"/>
    <col min="7686" max="7686" width="23.42578125" style="73" customWidth="1"/>
    <col min="7687" max="7687" width="7.5703125" style="73" customWidth="1"/>
    <col min="7688" max="7937" width="11.42578125" style="73" customWidth="1"/>
    <col min="7938" max="7938" width="26.7109375" style="73" customWidth="1"/>
    <col min="7939" max="7939" width="12.5703125" style="73" bestFit="1" customWidth="1"/>
    <col min="7940" max="7940" width="12.85546875" style="73" customWidth="1"/>
    <col min="7941" max="7941" width="24.28515625" style="73" customWidth="1"/>
    <col min="7942" max="7942" width="23.42578125" style="73" customWidth="1"/>
    <col min="7943" max="7943" width="7.5703125" style="73" customWidth="1"/>
    <col min="7944" max="8193" width="11.42578125" style="73" customWidth="1"/>
    <col min="8194" max="8194" width="26.7109375" style="73" customWidth="1"/>
    <col min="8195" max="8195" width="12.5703125" style="73" bestFit="1" customWidth="1"/>
    <col min="8196" max="8196" width="12.85546875" style="73" customWidth="1"/>
    <col min="8197" max="8197" width="24.28515625" style="73" customWidth="1"/>
    <col min="8198" max="8198" width="23.42578125" style="73" customWidth="1"/>
    <col min="8199" max="8199" width="7.5703125" style="73" customWidth="1"/>
    <col min="8200" max="8449" width="11.42578125" style="73" customWidth="1"/>
    <col min="8450" max="8450" width="26.7109375" style="73" customWidth="1"/>
    <col min="8451" max="8451" width="12.5703125" style="73" bestFit="1" customWidth="1"/>
    <col min="8452" max="8452" width="12.85546875" style="73" customWidth="1"/>
    <col min="8453" max="8453" width="24.28515625" style="73" customWidth="1"/>
    <col min="8454" max="8454" width="23.42578125" style="73" customWidth="1"/>
    <col min="8455" max="8455" width="7.5703125" style="73" customWidth="1"/>
    <col min="8456" max="8705" width="11.42578125" style="73" customWidth="1"/>
    <col min="8706" max="8706" width="26.7109375" style="73" customWidth="1"/>
    <col min="8707" max="8707" width="12.5703125" style="73" bestFit="1" customWidth="1"/>
    <col min="8708" max="8708" width="12.85546875" style="73" customWidth="1"/>
    <col min="8709" max="8709" width="24.28515625" style="73" customWidth="1"/>
    <col min="8710" max="8710" width="23.42578125" style="73" customWidth="1"/>
    <col min="8711" max="8711" width="7.5703125" style="73" customWidth="1"/>
    <col min="8712" max="8961" width="11.42578125" style="73" customWidth="1"/>
    <col min="8962" max="8962" width="26.7109375" style="73" customWidth="1"/>
    <col min="8963" max="8963" width="12.5703125" style="73" bestFit="1" customWidth="1"/>
    <col min="8964" max="8964" width="12.85546875" style="73" customWidth="1"/>
    <col min="8965" max="8965" width="24.28515625" style="73" customWidth="1"/>
    <col min="8966" max="8966" width="23.42578125" style="73" customWidth="1"/>
    <col min="8967" max="8967" width="7.5703125" style="73" customWidth="1"/>
    <col min="8968" max="9217" width="11.42578125" style="73" customWidth="1"/>
    <col min="9218" max="9218" width="26.7109375" style="73" customWidth="1"/>
    <col min="9219" max="9219" width="12.5703125" style="73" bestFit="1" customWidth="1"/>
    <col min="9220" max="9220" width="12.85546875" style="73" customWidth="1"/>
    <col min="9221" max="9221" width="24.28515625" style="73" customWidth="1"/>
    <col min="9222" max="9222" width="23.42578125" style="73" customWidth="1"/>
    <col min="9223" max="9223" width="7.5703125" style="73" customWidth="1"/>
    <col min="9224" max="9473" width="11.42578125" style="73" customWidth="1"/>
    <col min="9474" max="9474" width="26.7109375" style="73" customWidth="1"/>
    <col min="9475" max="9475" width="12.5703125" style="73" bestFit="1" customWidth="1"/>
    <col min="9476" max="9476" width="12.85546875" style="73" customWidth="1"/>
    <col min="9477" max="9477" width="24.28515625" style="73" customWidth="1"/>
    <col min="9478" max="9478" width="23.42578125" style="73" customWidth="1"/>
    <col min="9479" max="9479" width="7.5703125" style="73" customWidth="1"/>
    <col min="9480" max="9729" width="11.42578125" style="73" customWidth="1"/>
    <col min="9730" max="9730" width="26.7109375" style="73" customWidth="1"/>
    <col min="9731" max="9731" width="12.5703125" style="73" bestFit="1" customWidth="1"/>
    <col min="9732" max="9732" width="12.85546875" style="73" customWidth="1"/>
    <col min="9733" max="9733" width="24.28515625" style="73" customWidth="1"/>
    <col min="9734" max="9734" width="23.42578125" style="73" customWidth="1"/>
    <col min="9735" max="9735" width="7.5703125" style="73" customWidth="1"/>
    <col min="9736" max="9985" width="11.42578125" style="73" customWidth="1"/>
    <col min="9986" max="9986" width="26.7109375" style="73" customWidth="1"/>
    <col min="9987" max="9987" width="12.5703125" style="73" bestFit="1" customWidth="1"/>
    <col min="9988" max="9988" width="12.85546875" style="73" customWidth="1"/>
    <col min="9989" max="9989" width="24.28515625" style="73" customWidth="1"/>
    <col min="9990" max="9990" width="23.42578125" style="73" customWidth="1"/>
    <col min="9991" max="9991" width="7.5703125" style="73" customWidth="1"/>
    <col min="9992" max="10241" width="11.42578125" style="73" customWidth="1"/>
    <col min="10242" max="10242" width="26.7109375" style="73" customWidth="1"/>
    <col min="10243" max="10243" width="12.5703125" style="73" bestFit="1" customWidth="1"/>
    <col min="10244" max="10244" width="12.85546875" style="73" customWidth="1"/>
    <col min="10245" max="10245" width="24.28515625" style="73" customWidth="1"/>
    <col min="10246" max="10246" width="23.42578125" style="73" customWidth="1"/>
    <col min="10247" max="10247" width="7.5703125" style="73" customWidth="1"/>
    <col min="10248" max="10497" width="11.42578125" style="73" customWidth="1"/>
    <col min="10498" max="10498" width="26.7109375" style="73" customWidth="1"/>
    <col min="10499" max="10499" width="12.5703125" style="73" bestFit="1" customWidth="1"/>
    <col min="10500" max="10500" width="12.85546875" style="73" customWidth="1"/>
    <col min="10501" max="10501" width="24.28515625" style="73" customWidth="1"/>
    <col min="10502" max="10502" width="23.42578125" style="73" customWidth="1"/>
    <col min="10503" max="10503" width="7.5703125" style="73" customWidth="1"/>
    <col min="10504" max="10753" width="11.42578125" style="73" customWidth="1"/>
    <col min="10754" max="10754" width="26.7109375" style="73" customWidth="1"/>
    <col min="10755" max="10755" width="12.5703125" style="73" bestFit="1" customWidth="1"/>
    <col min="10756" max="10756" width="12.85546875" style="73" customWidth="1"/>
    <col min="10757" max="10757" width="24.28515625" style="73" customWidth="1"/>
    <col min="10758" max="10758" width="23.42578125" style="73" customWidth="1"/>
    <col min="10759" max="10759" width="7.5703125" style="73" customWidth="1"/>
    <col min="10760" max="11009" width="11.42578125" style="73" customWidth="1"/>
    <col min="11010" max="11010" width="26.7109375" style="73" customWidth="1"/>
    <col min="11011" max="11011" width="12.5703125" style="73" bestFit="1" customWidth="1"/>
    <col min="11012" max="11012" width="12.85546875" style="73" customWidth="1"/>
    <col min="11013" max="11013" width="24.28515625" style="73" customWidth="1"/>
    <col min="11014" max="11014" width="23.42578125" style="73" customWidth="1"/>
    <col min="11015" max="11015" width="7.5703125" style="73" customWidth="1"/>
    <col min="11016" max="11265" width="11.42578125" style="73" customWidth="1"/>
    <col min="11266" max="11266" width="26.7109375" style="73" customWidth="1"/>
    <col min="11267" max="11267" width="12.5703125" style="73" bestFit="1" customWidth="1"/>
    <col min="11268" max="11268" width="12.85546875" style="73" customWidth="1"/>
    <col min="11269" max="11269" width="24.28515625" style="73" customWidth="1"/>
    <col min="11270" max="11270" width="23.42578125" style="73" customWidth="1"/>
    <col min="11271" max="11271" width="7.5703125" style="73" customWidth="1"/>
    <col min="11272" max="11521" width="11.42578125" style="73" customWidth="1"/>
    <col min="11522" max="11522" width="26.7109375" style="73" customWidth="1"/>
    <col min="11523" max="11523" width="12.5703125" style="73" bestFit="1" customWidth="1"/>
    <col min="11524" max="11524" width="12.85546875" style="73" customWidth="1"/>
    <col min="11525" max="11525" width="24.28515625" style="73" customWidth="1"/>
    <col min="11526" max="11526" width="23.42578125" style="73" customWidth="1"/>
    <col min="11527" max="11527" width="7.5703125" style="73" customWidth="1"/>
    <col min="11528" max="11777" width="11.42578125" style="73" customWidth="1"/>
    <col min="11778" max="11778" width="26.7109375" style="73" customWidth="1"/>
    <col min="11779" max="11779" width="12.5703125" style="73" bestFit="1" customWidth="1"/>
    <col min="11780" max="11780" width="12.85546875" style="73" customWidth="1"/>
    <col min="11781" max="11781" width="24.28515625" style="73" customWidth="1"/>
    <col min="11782" max="11782" width="23.42578125" style="73" customWidth="1"/>
    <col min="11783" max="11783" width="7.5703125" style="73" customWidth="1"/>
    <col min="11784" max="12033" width="11.42578125" style="73" customWidth="1"/>
    <col min="12034" max="12034" width="26.7109375" style="73" customWidth="1"/>
    <col min="12035" max="12035" width="12.5703125" style="73" bestFit="1" customWidth="1"/>
    <col min="12036" max="12036" width="12.85546875" style="73" customWidth="1"/>
    <col min="12037" max="12037" width="24.28515625" style="73" customWidth="1"/>
    <col min="12038" max="12038" width="23.42578125" style="73" customWidth="1"/>
    <col min="12039" max="12039" width="7.5703125" style="73" customWidth="1"/>
    <col min="12040" max="12289" width="11.42578125" style="73" customWidth="1"/>
    <col min="12290" max="12290" width="26.7109375" style="73" customWidth="1"/>
    <col min="12291" max="12291" width="12.5703125" style="73" bestFit="1" customWidth="1"/>
    <col min="12292" max="12292" width="12.85546875" style="73" customWidth="1"/>
    <col min="12293" max="12293" width="24.28515625" style="73" customWidth="1"/>
    <col min="12294" max="12294" width="23.42578125" style="73" customWidth="1"/>
    <col min="12295" max="12295" width="7.5703125" style="73" customWidth="1"/>
    <col min="12296" max="12545" width="11.42578125" style="73" customWidth="1"/>
    <col min="12546" max="12546" width="26.7109375" style="73" customWidth="1"/>
    <col min="12547" max="12547" width="12.5703125" style="73" bestFit="1" customWidth="1"/>
    <col min="12548" max="12548" width="12.85546875" style="73" customWidth="1"/>
    <col min="12549" max="12549" width="24.28515625" style="73" customWidth="1"/>
    <col min="12550" max="12550" width="23.42578125" style="73" customWidth="1"/>
    <col min="12551" max="12551" width="7.5703125" style="73" customWidth="1"/>
    <col min="12552" max="12801" width="11.42578125" style="73" customWidth="1"/>
    <col min="12802" max="12802" width="26.7109375" style="73" customWidth="1"/>
    <col min="12803" max="12803" width="12.5703125" style="73" bestFit="1" customWidth="1"/>
    <col min="12804" max="12804" width="12.85546875" style="73" customWidth="1"/>
    <col min="12805" max="12805" width="24.28515625" style="73" customWidth="1"/>
    <col min="12806" max="12806" width="23.42578125" style="73" customWidth="1"/>
    <col min="12807" max="12807" width="7.5703125" style="73" customWidth="1"/>
    <col min="12808" max="13057" width="11.42578125" style="73" customWidth="1"/>
    <col min="13058" max="13058" width="26.7109375" style="73" customWidth="1"/>
    <col min="13059" max="13059" width="12.5703125" style="73" bestFit="1" customWidth="1"/>
    <col min="13060" max="13060" width="12.85546875" style="73" customWidth="1"/>
    <col min="13061" max="13061" width="24.28515625" style="73" customWidth="1"/>
    <col min="13062" max="13062" width="23.42578125" style="73" customWidth="1"/>
    <col min="13063" max="13063" width="7.5703125" style="73" customWidth="1"/>
    <col min="13064" max="13313" width="11.42578125" style="73" customWidth="1"/>
    <col min="13314" max="13314" width="26.7109375" style="73" customWidth="1"/>
    <col min="13315" max="13315" width="12.5703125" style="73" bestFit="1" customWidth="1"/>
    <col min="13316" max="13316" width="12.85546875" style="73" customWidth="1"/>
    <col min="13317" max="13317" width="24.28515625" style="73" customWidth="1"/>
    <col min="13318" max="13318" width="23.42578125" style="73" customWidth="1"/>
    <col min="13319" max="13319" width="7.5703125" style="73" customWidth="1"/>
    <col min="13320" max="13569" width="11.42578125" style="73" customWidth="1"/>
    <col min="13570" max="13570" width="26.7109375" style="73" customWidth="1"/>
    <col min="13571" max="13571" width="12.5703125" style="73" bestFit="1" customWidth="1"/>
    <col min="13572" max="13572" width="12.85546875" style="73" customWidth="1"/>
    <col min="13573" max="13573" width="24.28515625" style="73" customWidth="1"/>
    <col min="13574" max="13574" width="23.42578125" style="73" customWidth="1"/>
    <col min="13575" max="13575" width="7.5703125" style="73" customWidth="1"/>
    <col min="13576" max="13825" width="11.42578125" style="73" customWidth="1"/>
    <col min="13826" max="13826" width="26.7109375" style="73" customWidth="1"/>
    <col min="13827" max="13827" width="12.5703125" style="73" bestFit="1" customWidth="1"/>
    <col min="13828" max="13828" width="12.85546875" style="73" customWidth="1"/>
    <col min="13829" max="13829" width="24.28515625" style="73" customWidth="1"/>
    <col min="13830" max="13830" width="23.42578125" style="73" customWidth="1"/>
    <col min="13831" max="13831" width="7.5703125" style="73" customWidth="1"/>
    <col min="13832" max="14081" width="11.42578125" style="73" customWidth="1"/>
    <col min="14082" max="14082" width="26.7109375" style="73" customWidth="1"/>
    <col min="14083" max="14083" width="12.5703125" style="73" bestFit="1" customWidth="1"/>
    <col min="14084" max="14084" width="12.85546875" style="73" customWidth="1"/>
    <col min="14085" max="14085" width="24.28515625" style="73" customWidth="1"/>
    <col min="14086" max="14086" width="23.42578125" style="73" customWidth="1"/>
    <col min="14087" max="14087" width="7.5703125" style="73" customWidth="1"/>
    <col min="14088" max="14337" width="11.42578125" style="73" customWidth="1"/>
    <col min="14338" max="14338" width="26.7109375" style="73" customWidth="1"/>
    <col min="14339" max="14339" width="12.5703125" style="73" bestFit="1" customWidth="1"/>
    <col min="14340" max="14340" width="12.85546875" style="73" customWidth="1"/>
    <col min="14341" max="14341" width="24.28515625" style="73" customWidth="1"/>
    <col min="14342" max="14342" width="23.42578125" style="73" customWidth="1"/>
    <col min="14343" max="14343" width="7.5703125" style="73" customWidth="1"/>
    <col min="14344" max="14593" width="11.42578125" style="73" customWidth="1"/>
    <col min="14594" max="14594" width="26.7109375" style="73" customWidth="1"/>
    <col min="14595" max="14595" width="12.5703125" style="73" bestFit="1" customWidth="1"/>
    <col min="14596" max="14596" width="12.85546875" style="73" customWidth="1"/>
    <col min="14597" max="14597" width="24.28515625" style="73" customWidth="1"/>
    <col min="14598" max="14598" width="23.42578125" style="73" customWidth="1"/>
    <col min="14599" max="14599" width="7.5703125" style="73" customWidth="1"/>
    <col min="14600" max="14849" width="11.42578125" style="73" customWidth="1"/>
    <col min="14850" max="14850" width="26.7109375" style="73" customWidth="1"/>
    <col min="14851" max="14851" width="12.5703125" style="73" bestFit="1" customWidth="1"/>
    <col min="14852" max="14852" width="12.85546875" style="73" customWidth="1"/>
    <col min="14853" max="14853" width="24.28515625" style="73" customWidth="1"/>
    <col min="14854" max="14854" width="23.42578125" style="73" customWidth="1"/>
    <col min="14855" max="14855" width="7.5703125" style="73" customWidth="1"/>
    <col min="14856" max="15105" width="11.42578125" style="73" customWidth="1"/>
    <col min="15106" max="15106" width="26.7109375" style="73" customWidth="1"/>
    <col min="15107" max="15107" width="12.5703125" style="73" bestFit="1" customWidth="1"/>
    <col min="15108" max="15108" width="12.85546875" style="73" customWidth="1"/>
    <col min="15109" max="15109" width="24.28515625" style="73" customWidth="1"/>
    <col min="15110" max="15110" width="23.42578125" style="73" customWidth="1"/>
    <col min="15111" max="15111" width="7.5703125" style="73" customWidth="1"/>
    <col min="15112" max="15361" width="11.42578125" style="73" customWidth="1"/>
    <col min="15362" max="15362" width="26.7109375" style="73" customWidth="1"/>
    <col min="15363" max="15363" width="12.5703125" style="73" bestFit="1" customWidth="1"/>
    <col min="15364" max="15364" width="12.85546875" style="73" customWidth="1"/>
    <col min="15365" max="15365" width="24.28515625" style="73" customWidth="1"/>
    <col min="15366" max="15366" width="23.42578125" style="73" customWidth="1"/>
    <col min="15367" max="15367" width="7.5703125" style="73" customWidth="1"/>
    <col min="15368" max="15617" width="11.42578125" style="73" customWidth="1"/>
    <col min="15618" max="15618" width="26.7109375" style="73" customWidth="1"/>
    <col min="15619" max="15619" width="12.5703125" style="73" bestFit="1" customWidth="1"/>
    <col min="15620" max="15620" width="12.85546875" style="73" customWidth="1"/>
    <col min="15621" max="15621" width="24.28515625" style="73" customWidth="1"/>
    <col min="15622" max="15622" width="23.42578125" style="73" customWidth="1"/>
    <col min="15623" max="15623" width="7.5703125" style="73" customWidth="1"/>
    <col min="15624" max="15873" width="11.42578125" style="73" customWidth="1"/>
    <col min="15874" max="15874" width="26.7109375" style="73" customWidth="1"/>
    <col min="15875" max="15875" width="12.5703125" style="73" bestFit="1" customWidth="1"/>
    <col min="15876" max="15876" width="12.85546875" style="73" customWidth="1"/>
    <col min="15877" max="15877" width="24.28515625" style="73" customWidth="1"/>
    <col min="15878" max="15878" width="23.42578125" style="73" customWidth="1"/>
    <col min="15879" max="15879" width="7.5703125" style="73" customWidth="1"/>
    <col min="15880" max="16129" width="11.42578125" style="73" customWidth="1"/>
    <col min="16130" max="16130" width="26.7109375" style="73" customWidth="1"/>
    <col min="16131" max="16131" width="12.5703125" style="73" bestFit="1" customWidth="1"/>
    <col min="16132" max="16132" width="12.85546875" style="73" customWidth="1"/>
    <col min="16133" max="16133" width="24.28515625" style="73" customWidth="1"/>
    <col min="16134" max="16134" width="23.42578125" style="73" customWidth="1"/>
    <col min="16135" max="16135" width="7.5703125" style="73" customWidth="1"/>
    <col min="16136" max="16384" width="11.42578125" style="73" customWidth="1"/>
  </cols>
  <sheetData>
    <row r="1" spans="1:22" ht="15.75" thickBot="1" x14ac:dyDescent="0.25">
      <c r="A1" s="319" t="s">
        <v>83</v>
      </c>
      <c r="B1" s="320" t="s">
        <v>84</v>
      </c>
      <c r="C1" s="320"/>
      <c r="D1" s="154"/>
      <c r="E1" s="321" t="s">
        <v>85</v>
      </c>
      <c r="F1" s="320" t="s">
        <v>86</v>
      </c>
    </row>
    <row r="2" spans="1:22" ht="40.5" customHeight="1" thickBot="1" x14ac:dyDescent="0.25">
      <c r="A2" s="319"/>
      <c r="B2" s="74" t="s">
        <v>87</v>
      </c>
      <c r="C2" s="74" t="s">
        <v>88</v>
      </c>
      <c r="D2" s="155"/>
      <c r="E2" s="322"/>
      <c r="F2" s="320"/>
      <c r="H2" s="75" t="s">
        <v>89</v>
      </c>
      <c r="I2" s="76" t="s">
        <v>90</v>
      </c>
      <c r="U2" s="271"/>
      <c r="V2" s="271"/>
    </row>
    <row r="3" spans="1:22" ht="30" x14ac:dyDescent="0.2">
      <c r="A3" s="319"/>
      <c r="B3" s="74" t="s">
        <v>91</v>
      </c>
      <c r="C3" s="74" t="s">
        <v>91</v>
      </c>
      <c r="D3" s="156" t="s">
        <v>137</v>
      </c>
      <c r="E3" s="323"/>
      <c r="F3" s="320"/>
      <c r="H3" s="77">
        <v>2</v>
      </c>
      <c r="I3" s="78">
        <v>11</v>
      </c>
      <c r="U3" s="275"/>
    </row>
    <row r="4" spans="1:22" x14ac:dyDescent="0.2">
      <c r="A4" s="79" t="s">
        <v>3</v>
      </c>
      <c r="B4" s="80">
        <v>0.2</v>
      </c>
      <c r="C4" s="80">
        <v>0.2</v>
      </c>
      <c r="D4" s="157">
        <v>12</v>
      </c>
      <c r="E4" s="81" t="s">
        <v>92</v>
      </c>
      <c r="F4" s="81" t="s">
        <v>93</v>
      </c>
      <c r="H4" s="77">
        <v>2.5</v>
      </c>
      <c r="I4" s="78">
        <v>11.7</v>
      </c>
      <c r="U4" s="275"/>
    </row>
    <row r="5" spans="1:22" x14ac:dyDescent="0.2">
      <c r="A5" s="79" t="s">
        <v>5</v>
      </c>
      <c r="B5" s="80">
        <v>0.2</v>
      </c>
      <c r="C5" s="80">
        <v>0.2</v>
      </c>
      <c r="D5" s="157">
        <v>10</v>
      </c>
      <c r="E5" s="81" t="s">
        <v>94</v>
      </c>
      <c r="F5" s="82" t="s">
        <v>95</v>
      </c>
      <c r="H5" s="77">
        <v>3</v>
      </c>
      <c r="I5" s="78">
        <v>12.3</v>
      </c>
      <c r="U5" s="275"/>
    </row>
    <row r="6" spans="1:22" x14ac:dyDescent="0.2">
      <c r="A6" s="79" t="s">
        <v>96</v>
      </c>
      <c r="B6" s="80">
        <v>0.05</v>
      </c>
      <c r="C6" s="80">
        <v>0.05</v>
      </c>
      <c r="D6" s="157" t="s">
        <v>42</v>
      </c>
      <c r="E6" s="81" t="s">
        <v>97</v>
      </c>
      <c r="F6" s="82" t="s">
        <v>97</v>
      </c>
      <c r="H6" s="77">
        <v>3.5</v>
      </c>
      <c r="I6" s="78">
        <v>12.9</v>
      </c>
      <c r="U6" s="275"/>
    </row>
    <row r="7" spans="1:22" x14ac:dyDescent="0.2">
      <c r="A7" s="79" t="s">
        <v>9</v>
      </c>
      <c r="B7" s="80">
        <v>0.2</v>
      </c>
      <c r="C7" s="80">
        <v>0.2</v>
      </c>
      <c r="D7" s="157">
        <v>10</v>
      </c>
      <c r="E7" s="81" t="s">
        <v>94</v>
      </c>
      <c r="F7" s="82" t="s">
        <v>95</v>
      </c>
      <c r="H7" s="77">
        <v>4</v>
      </c>
      <c r="I7" s="78">
        <v>13.5</v>
      </c>
      <c r="U7" s="275"/>
    </row>
    <row r="8" spans="1:22" x14ac:dyDescent="0.2">
      <c r="A8" s="79" t="s">
        <v>11</v>
      </c>
      <c r="B8" s="80">
        <v>0.33</v>
      </c>
      <c r="C8" s="80">
        <v>0.33</v>
      </c>
      <c r="D8" s="157">
        <v>13</v>
      </c>
      <c r="E8" s="81" t="s">
        <v>98</v>
      </c>
      <c r="F8" s="82" t="s">
        <v>93</v>
      </c>
      <c r="H8" s="77">
        <v>4.5</v>
      </c>
      <c r="I8" s="78">
        <v>14</v>
      </c>
      <c r="U8" s="275"/>
    </row>
    <row r="9" spans="1:22" x14ac:dyDescent="0.2">
      <c r="A9" s="79" t="s">
        <v>8</v>
      </c>
      <c r="B9" s="80">
        <v>0.2</v>
      </c>
      <c r="C9" s="80">
        <v>0.2</v>
      </c>
      <c r="D9" s="157">
        <v>12</v>
      </c>
      <c r="E9" s="81" t="s">
        <v>92</v>
      </c>
      <c r="F9" s="82" t="s">
        <v>93</v>
      </c>
      <c r="H9" s="77">
        <v>5</v>
      </c>
      <c r="I9" s="78">
        <v>14.5</v>
      </c>
      <c r="U9" s="275"/>
    </row>
    <row r="10" spans="1:22" x14ac:dyDescent="0.2">
      <c r="A10" s="79" t="s">
        <v>99</v>
      </c>
      <c r="B10" s="80">
        <v>0.33</v>
      </c>
      <c r="C10" s="80"/>
      <c r="D10" s="157">
        <v>12</v>
      </c>
      <c r="E10" s="81" t="s">
        <v>92</v>
      </c>
      <c r="F10" s="82" t="s">
        <v>93</v>
      </c>
      <c r="H10" s="77">
        <v>5.5</v>
      </c>
      <c r="I10" s="78">
        <v>15</v>
      </c>
      <c r="U10" s="275"/>
    </row>
    <row r="11" spans="1:22" x14ac:dyDescent="0.2">
      <c r="A11" s="79" t="s">
        <v>100</v>
      </c>
      <c r="B11" s="80">
        <v>0.42</v>
      </c>
      <c r="C11" s="80"/>
      <c r="D11" s="157">
        <v>13</v>
      </c>
      <c r="E11" s="81" t="s">
        <v>98</v>
      </c>
      <c r="F11" s="82" t="s">
        <v>93</v>
      </c>
      <c r="H11" s="77">
        <v>6</v>
      </c>
      <c r="I11" s="78">
        <v>15.4</v>
      </c>
    </row>
    <row r="12" spans="1:22" x14ac:dyDescent="0.2">
      <c r="A12" s="79" t="s">
        <v>101</v>
      </c>
      <c r="B12" s="80">
        <v>0.12</v>
      </c>
      <c r="C12" s="80"/>
      <c r="D12" s="157">
        <v>10</v>
      </c>
      <c r="E12" s="81" t="s">
        <v>94</v>
      </c>
      <c r="F12" s="82" t="s">
        <v>95</v>
      </c>
      <c r="H12" s="77">
        <v>6.5</v>
      </c>
      <c r="I12" s="78">
        <v>15.8</v>
      </c>
      <c r="T12" s="271"/>
      <c r="U12" s="271"/>
      <c r="V12" s="271"/>
    </row>
    <row r="13" spans="1:22" x14ac:dyDescent="0.2">
      <c r="A13" s="79" t="s">
        <v>102</v>
      </c>
      <c r="B13" s="80">
        <v>1.5</v>
      </c>
      <c r="C13" s="80"/>
      <c r="D13" s="157" t="s">
        <v>43</v>
      </c>
      <c r="E13" s="81" t="s">
        <v>103</v>
      </c>
      <c r="F13" s="81" t="s">
        <v>103</v>
      </c>
      <c r="H13" s="77">
        <v>7</v>
      </c>
      <c r="I13" s="78">
        <v>16.2</v>
      </c>
    </row>
    <row r="14" spans="1:22" x14ac:dyDescent="0.2">
      <c r="A14" s="79" t="s">
        <v>21</v>
      </c>
      <c r="B14" s="80">
        <v>0.15</v>
      </c>
      <c r="C14" s="80"/>
      <c r="D14" s="157">
        <v>10</v>
      </c>
      <c r="E14" s="81" t="s">
        <v>94</v>
      </c>
      <c r="F14" s="82" t="s">
        <v>95</v>
      </c>
      <c r="H14" s="77">
        <v>7.5</v>
      </c>
      <c r="I14" s="78">
        <v>16.55</v>
      </c>
    </row>
    <row r="15" spans="1:22" x14ac:dyDescent="0.2">
      <c r="A15" s="79" t="s">
        <v>22</v>
      </c>
      <c r="B15" s="80">
        <v>0.5</v>
      </c>
      <c r="C15" s="80"/>
      <c r="D15" s="157" t="s">
        <v>43</v>
      </c>
      <c r="E15" s="81" t="s">
        <v>103</v>
      </c>
      <c r="F15" s="81" t="s">
        <v>103</v>
      </c>
      <c r="H15" s="77">
        <v>8</v>
      </c>
      <c r="I15" s="78">
        <v>16.899999999999999</v>
      </c>
    </row>
    <row r="16" spans="1:22" x14ac:dyDescent="0.2">
      <c r="A16" s="79" t="s">
        <v>104</v>
      </c>
      <c r="B16" s="80">
        <v>0.1</v>
      </c>
      <c r="C16" s="80"/>
      <c r="D16" s="157">
        <v>10</v>
      </c>
      <c r="E16" s="81" t="s">
        <v>94</v>
      </c>
      <c r="F16" s="82" t="s">
        <v>95</v>
      </c>
      <c r="H16" s="77">
        <v>8.5</v>
      </c>
      <c r="I16" s="78">
        <v>17.2</v>
      </c>
    </row>
    <row r="17" spans="1:13" x14ac:dyDescent="0.2">
      <c r="A17" s="79" t="s">
        <v>18</v>
      </c>
      <c r="B17" s="80">
        <v>0.33</v>
      </c>
      <c r="C17" s="80"/>
      <c r="D17" s="157">
        <v>13</v>
      </c>
      <c r="E17" s="81" t="s">
        <v>98</v>
      </c>
      <c r="F17" s="82" t="s">
        <v>93</v>
      </c>
      <c r="H17" s="77">
        <v>9</v>
      </c>
      <c r="I17" s="78">
        <v>17.5</v>
      </c>
    </row>
    <row r="18" spans="1:13" x14ac:dyDescent="0.2">
      <c r="A18" s="79" t="s">
        <v>25</v>
      </c>
      <c r="B18" s="80">
        <v>0.2</v>
      </c>
      <c r="C18" s="80"/>
      <c r="D18" s="157">
        <v>10</v>
      </c>
      <c r="E18" s="81" t="s">
        <v>94</v>
      </c>
      <c r="F18" s="82" t="s">
        <v>95</v>
      </c>
      <c r="H18" s="77">
        <v>9.5</v>
      </c>
      <c r="I18" s="78">
        <v>17.75</v>
      </c>
    </row>
    <row r="19" spans="1:13" x14ac:dyDescent="0.2">
      <c r="A19" s="79" t="s">
        <v>26</v>
      </c>
      <c r="B19" s="80">
        <v>0.1</v>
      </c>
      <c r="C19" s="80"/>
      <c r="D19" s="157">
        <v>10</v>
      </c>
      <c r="E19" s="81" t="s">
        <v>94</v>
      </c>
      <c r="F19" s="82" t="s">
        <v>95</v>
      </c>
      <c r="H19" s="77">
        <v>10</v>
      </c>
      <c r="I19" s="78">
        <v>18</v>
      </c>
    </row>
    <row r="20" spans="1:13" x14ac:dyDescent="0.2">
      <c r="A20" s="83"/>
      <c r="B20" s="84"/>
      <c r="C20" s="84"/>
      <c r="D20" s="84"/>
      <c r="E20" s="84"/>
      <c r="F20" s="84"/>
      <c r="H20" s="77">
        <v>10.5</v>
      </c>
      <c r="I20" s="78">
        <v>18.25</v>
      </c>
    </row>
    <row r="21" spans="1:13" ht="15" x14ac:dyDescent="0.2">
      <c r="A21" s="85" t="s">
        <v>83</v>
      </c>
      <c r="B21" s="86" t="s">
        <v>32</v>
      </c>
      <c r="C21" s="84"/>
      <c r="D21" s="84"/>
      <c r="E21" s="84"/>
      <c r="F21" s="84"/>
      <c r="H21" s="77">
        <v>11</v>
      </c>
      <c r="I21" s="78">
        <v>18.5</v>
      </c>
    </row>
    <row r="22" spans="1:13" ht="30" x14ac:dyDescent="0.2">
      <c r="A22" s="79" t="s">
        <v>3</v>
      </c>
      <c r="B22" s="87">
        <v>2.5</v>
      </c>
      <c r="C22" s="84"/>
      <c r="D22" s="96" t="s">
        <v>107</v>
      </c>
      <c r="E22" s="96" t="s">
        <v>116</v>
      </c>
      <c r="F22" s="96" t="s">
        <v>108</v>
      </c>
      <c r="H22" s="77">
        <v>11.5</v>
      </c>
      <c r="I22" s="78">
        <v>18.75</v>
      </c>
    </row>
    <row r="23" spans="1:13" x14ac:dyDescent="0.2">
      <c r="A23" s="79" t="s">
        <v>5</v>
      </c>
      <c r="B23" s="87">
        <v>1.5</v>
      </c>
      <c r="C23" s="84"/>
      <c r="D23" s="89" t="s">
        <v>109</v>
      </c>
      <c r="E23" s="89">
        <v>1</v>
      </c>
      <c r="F23" s="89">
        <f>1.5*E23</f>
        <v>1.5</v>
      </c>
      <c r="H23" s="77">
        <v>12</v>
      </c>
      <c r="I23" s="78">
        <v>19</v>
      </c>
    </row>
    <row r="24" spans="1:13" x14ac:dyDescent="0.2">
      <c r="A24" s="79" t="s">
        <v>9</v>
      </c>
      <c r="B24" s="87">
        <v>1</v>
      </c>
      <c r="C24" s="84"/>
      <c r="D24" s="89" t="s">
        <v>110</v>
      </c>
      <c r="E24" s="89">
        <v>2</v>
      </c>
      <c r="F24" s="89">
        <f>1.5*E24</f>
        <v>3</v>
      </c>
      <c r="H24" s="77">
        <v>12.5</v>
      </c>
      <c r="I24" s="78">
        <v>19.25</v>
      </c>
    </row>
    <row r="25" spans="1:13" x14ac:dyDescent="0.2">
      <c r="A25" s="79" t="s">
        <v>105</v>
      </c>
      <c r="B25" s="87">
        <v>3</v>
      </c>
      <c r="C25" s="84"/>
      <c r="D25" s="89" t="s">
        <v>111</v>
      </c>
      <c r="E25" s="89">
        <v>3</v>
      </c>
      <c r="F25" s="89">
        <f>1.5*E25</f>
        <v>4.5</v>
      </c>
      <c r="H25" s="77">
        <v>13</v>
      </c>
      <c r="I25" s="78">
        <v>19.5</v>
      </c>
    </row>
    <row r="26" spans="1:13" ht="25.5" x14ac:dyDescent="0.2">
      <c r="A26" s="88" t="s">
        <v>106</v>
      </c>
      <c r="B26" s="87">
        <v>1</v>
      </c>
      <c r="C26" s="84"/>
      <c r="D26" s="89" t="s">
        <v>112</v>
      </c>
      <c r="E26" s="89">
        <v>4</v>
      </c>
      <c r="F26" s="89">
        <f>1.5*E26</f>
        <v>6</v>
      </c>
      <c r="H26" s="77">
        <v>13.5</v>
      </c>
      <c r="I26" s="78">
        <v>19.75</v>
      </c>
    </row>
    <row r="27" spans="1:13" x14ac:dyDescent="0.2">
      <c r="A27" s="79" t="s">
        <v>8</v>
      </c>
      <c r="B27" s="87">
        <v>2</v>
      </c>
      <c r="C27" s="84"/>
      <c r="D27" s="89" t="s">
        <v>113</v>
      </c>
      <c r="E27" s="89">
        <v>5</v>
      </c>
      <c r="F27" s="89">
        <f>1.5*E27</f>
        <v>7.5</v>
      </c>
      <c r="H27" s="77">
        <v>14</v>
      </c>
      <c r="I27" s="78">
        <v>20</v>
      </c>
    </row>
    <row r="28" spans="1:13" x14ac:dyDescent="0.2">
      <c r="A28" s="79" t="s">
        <v>36</v>
      </c>
      <c r="B28" s="90">
        <v>2</v>
      </c>
      <c r="H28" s="77">
        <v>14.5</v>
      </c>
      <c r="I28" s="78">
        <v>20.100000000000001</v>
      </c>
    </row>
    <row r="29" spans="1:13" ht="13.5" thickBot="1" x14ac:dyDescent="0.25">
      <c r="A29" s="79" t="s">
        <v>101</v>
      </c>
      <c r="B29" s="90">
        <v>0.5</v>
      </c>
      <c r="H29" s="92">
        <v>15</v>
      </c>
      <c r="I29" s="93">
        <v>20.2</v>
      </c>
    </row>
    <row r="30" spans="1:13" ht="30.75" thickBot="1" x14ac:dyDescent="0.25">
      <c r="A30" s="79" t="s">
        <v>102</v>
      </c>
      <c r="B30" s="90">
        <v>1</v>
      </c>
      <c r="D30" s="129" t="s">
        <v>82</v>
      </c>
      <c r="E30" s="128"/>
      <c r="F30" s="104" t="s">
        <v>119</v>
      </c>
    </row>
    <row r="31" spans="1:13" ht="16.5" thickTop="1" thickBot="1" x14ac:dyDescent="0.25">
      <c r="A31" s="79" t="s">
        <v>21</v>
      </c>
      <c r="B31" s="90">
        <v>0.5</v>
      </c>
      <c r="D31" s="130">
        <v>1</v>
      </c>
      <c r="E31" s="127"/>
      <c r="F31" s="103" t="s">
        <v>60</v>
      </c>
    </row>
    <row r="32" spans="1:13" ht="15.75" thickBot="1" x14ac:dyDescent="0.25">
      <c r="A32" s="79" t="s">
        <v>22</v>
      </c>
      <c r="B32" s="90">
        <v>0.5</v>
      </c>
      <c r="D32" s="130">
        <v>2</v>
      </c>
      <c r="E32" s="127"/>
      <c r="F32" s="101" t="s">
        <v>118</v>
      </c>
      <c r="H32" s="94" t="s">
        <v>114</v>
      </c>
      <c r="I32" s="95" t="s">
        <v>115</v>
      </c>
      <c r="K32" s="91"/>
      <c r="L32" s="91"/>
      <c r="M32" s="91"/>
    </row>
    <row r="33" spans="1:13" ht="15.75" thickBot="1" x14ac:dyDescent="0.25">
      <c r="A33" s="79" t="s">
        <v>104</v>
      </c>
      <c r="B33" s="90">
        <v>0.5</v>
      </c>
      <c r="D33" s="130">
        <v>3</v>
      </c>
      <c r="E33" s="127"/>
      <c r="F33" s="102" t="s">
        <v>59</v>
      </c>
      <c r="H33" s="77"/>
      <c r="I33" s="78"/>
      <c r="K33" s="91"/>
      <c r="L33" s="91"/>
      <c r="M33" s="91"/>
    </row>
    <row r="34" spans="1:13" ht="15" x14ac:dyDescent="0.2">
      <c r="A34" s="79" t="s">
        <v>18</v>
      </c>
      <c r="B34" s="90">
        <v>0.3</v>
      </c>
      <c r="D34" s="130">
        <v>4</v>
      </c>
      <c r="E34" s="14"/>
      <c r="F34" s="13"/>
      <c r="H34" s="77">
        <v>2</v>
      </c>
      <c r="I34" s="78">
        <f>0.8/((H34-1)^0.5)</f>
        <v>0.8</v>
      </c>
    </row>
    <row r="35" spans="1:13" ht="15" x14ac:dyDescent="0.2">
      <c r="A35" s="79" t="s">
        <v>25</v>
      </c>
      <c r="B35" s="90">
        <v>1</v>
      </c>
      <c r="D35" s="130">
        <v>5</v>
      </c>
      <c r="E35" s="14"/>
      <c r="F35" s="13"/>
      <c r="H35" s="77">
        <v>3</v>
      </c>
      <c r="I35" s="78">
        <f>0.8/((H35-1)^0.5)</f>
        <v>0.56568542494923801</v>
      </c>
    </row>
    <row r="36" spans="1:13" ht="15" x14ac:dyDescent="0.2">
      <c r="A36" s="79" t="s">
        <v>26</v>
      </c>
      <c r="B36" s="90">
        <v>1</v>
      </c>
      <c r="D36" s="130">
        <v>6</v>
      </c>
      <c r="E36" s="14"/>
      <c r="F36" s="13"/>
      <c r="H36" s="77">
        <v>4</v>
      </c>
      <c r="I36" s="78">
        <f>0.8/((H36-1)^0.5)</f>
        <v>0.46188021535170065</v>
      </c>
    </row>
    <row r="37" spans="1:13" ht="15.75" thickBot="1" x14ac:dyDescent="0.25">
      <c r="D37" s="130">
        <v>7</v>
      </c>
      <c r="E37" s="14"/>
      <c r="F37" s="13"/>
      <c r="H37" s="77">
        <v>5</v>
      </c>
      <c r="I37" s="78">
        <f>0.8/((H37-1)^0.5)</f>
        <v>0.4</v>
      </c>
    </row>
    <row r="38" spans="1:13" ht="15" x14ac:dyDescent="0.2">
      <c r="A38" s="201" t="s">
        <v>31</v>
      </c>
      <c r="B38" s="202" t="s">
        <v>32</v>
      </c>
      <c r="D38" s="130">
        <v>8</v>
      </c>
      <c r="E38" s="14"/>
      <c r="F38" s="13"/>
      <c r="H38" s="77">
        <v>6</v>
      </c>
      <c r="I38" s="78">
        <f>0.8/((H38-1)^0.5)</f>
        <v>0.35777087639996635</v>
      </c>
    </row>
    <row r="39" spans="1:13" ht="15" x14ac:dyDescent="0.2">
      <c r="A39" s="116" t="s">
        <v>33</v>
      </c>
      <c r="B39" s="124">
        <v>0.5</v>
      </c>
      <c r="D39" s="130">
        <v>9</v>
      </c>
      <c r="E39" s="14"/>
      <c r="F39" s="13"/>
      <c r="H39" s="77">
        <v>7</v>
      </c>
      <c r="I39" s="78">
        <f t="shared" ref="I39:I102" si="0">0.8/((H39-1)^0.5)</f>
        <v>0.32659863237109044</v>
      </c>
    </row>
    <row r="40" spans="1:13" ht="15" x14ac:dyDescent="0.2">
      <c r="A40" s="116" t="s">
        <v>20</v>
      </c>
      <c r="B40" s="124">
        <v>0.5</v>
      </c>
      <c r="D40" s="130">
        <v>10</v>
      </c>
      <c r="E40" s="14"/>
      <c r="F40" s="13"/>
      <c r="H40" s="77">
        <v>8</v>
      </c>
      <c r="I40" s="78">
        <f t="shared" si="0"/>
        <v>0.30237157840738177</v>
      </c>
    </row>
    <row r="41" spans="1:13" ht="15" x14ac:dyDescent="0.2">
      <c r="A41" s="116" t="s">
        <v>14</v>
      </c>
      <c r="B41" s="124">
        <v>0.5</v>
      </c>
      <c r="D41" s="130">
        <v>11</v>
      </c>
      <c r="E41" s="127"/>
      <c r="F41" s="13"/>
      <c r="H41" s="77">
        <v>9</v>
      </c>
      <c r="I41" s="78">
        <f t="shared" si="0"/>
        <v>0.28284271247461901</v>
      </c>
    </row>
    <row r="42" spans="1:13" ht="30" x14ac:dyDescent="0.2">
      <c r="A42" s="125" t="s">
        <v>34</v>
      </c>
      <c r="B42" s="124">
        <v>0.5</v>
      </c>
      <c r="D42" s="130">
        <v>12</v>
      </c>
      <c r="E42" s="127"/>
      <c r="F42" s="13"/>
      <c r="H42" s="77">
        <v>10</v>
      </c>
      <c r="I42" s="78">
        <f t="shared" si="0"/>
        <v>0.26666666666666666</v>
      </c>
    </row>
    <row r="43" spans="1:13" ht="15" x14ac:dyDescent="0.2">
      <c r="A43" s="116" t="s">
        <v>9</v>
      </c>
      <c r="B43" s="124">
        <v>1</v>
      </c>
      <c r="D43" s="130">
        <v>13</v>
      </c>
      <c r="E43" s="127"/>
      <c r="F43" s="13"/>
      <c r="H43" s="77">
        <v>11</v>
      </c>
      <c r="I43" s="78">
        <f t="shared" si="0"/>
        <v>0.25298221281347033</v>
      </c>
    </row>
    <row r="44" spans="1:13" ht="15" x14ac:dyDescent="0.2">
      <c r="A44" s="116" t="s">
        <v>41</v>
      </c>
      <c r="B44" s="124">
        <v>1</v>
      </c>
      <c r="D44" s="130">
        <v>14</v>
      </c>
      <c r="E44" s="13"/>
      <c r="F44" s="13"/>
      <c r="H44" s="77">
        <v>12</v>
      </c>
      <c r="I44" s="78">
        <f t="shared" si="0"/>
        <v>0.24120907566221092</v>
      </c>
    </row>
    <row r="45" spans="1:13" ht="15" x14ac:dyDescent="0.2">
      <c r="A45" s="116" t="s">
        <v>35</v>
      </c>
      <c r="B45" s="124">
        <v>1</v>
      </c>
      <c r="D45" s="130">
        <v>15</v>
      </c>
      <c r="E45" s="13"/>
      <c r="F45" s="13"/>
      <c r="H45" s="77">
        <v>13</v>
      </c>
      <c r="I45" s="78">
        <f t="shared" si="0"/>
        <v>0.23094010767585033</v>
      </c>
    </row>
    <row r="46" spans="1:13" ht="15" x14ac:dyDescent="0.2">
      <c r="A46" s="116" t="s">
        <v>5</v>
      </c>
      <c r="B46" s="124">
        <v>1.5</v>
      </c>
      <c r="D46" s="130">
        <v>16</v>
      </c>
      <c r="E46" s="13"/>
      <c r="F46" s="13"/>
      <c r="H46" s="77">
        <v>14</v>
      </c>
      <c r="I46" s="78">
        <f t="shared" si="0"/>
        <v>0.22188007849009167</v>
      </c>
    </row>
    <row r="47" spans="1:13" ht="15" x14ac:dyDescent="0.2">
      <c r="A47" s="116" t="s">
        <v>8</v>
      </c>
      <c r="B47" s="124">
        <v>2</v>
      </c>
      <c r="D47" s="130">
        <v>17</v>
      </c>
      <c r="E47" s="13"/>
      <c r="F47" s="13"/>
      <c r="H47" s="77">
        <v>15</v>
      </c>
      <c r="I47" s="78">
        <f t="shared" si="0"/>
        <v>0.21380899352993951</v>
      </c>
    </row>
    <row r="48" spans="1:13" ht="15" x14ac:dyDescent="0.2">
      <c r="A48" s="116" t="s">
        <v>36</v>
      </c>
      <c r="B48" s="124">
        <v>2</v>
      </c>
      <c r="D48" s="130">
        <v>18</v>
      </c>
      <c r="E48" s="13"/>
      <c r="F48" s="13"/>
      <c r="H48" s="77">
        <v>16</v>
      </c>
      <c r="I48" s="78">
        <f t="shared" si="0"/>
        <v>0.2065591117977289</v>
      </c>
    </row>
    <row r="49" spans="1:9" ht="15" x14ac:dyDescent="0.2">
      <c r="A49" s="116" t="s">
        <v>16</v>
      </c>
      <c r="B49" s="124">
        <v>2.5</v>
      </c>
      <c r="D49" s="130">
        <v>19</v>
      </c>
      <c r="E49" s="13"/>
      <c r="F49" s="13"/>
      <c r="H49" s="77">
        <v>17</v>
      </c>
      <c r="I49" s="78">
        <f t="shared" si="0"/>
        <v>0.2</v>
      </c>
    </row>
    <row r="50" spans="1:9" ht="15.75" thickBot="1" x14ac:dyDescent="0.25">
      <c r="A50" s="116" t="s">
        <v>37</v>
      </c>
      <c r="B50" s="124">
        <v>2.5</v>
      </c>
      <c r="D50" s="131">
        <v>20</v>
      </c>
      <c r="E50" s="13"/>
      <c r="F50" s="13"/>
      <c r="H50" s="77">
        <v>18</v>
      </c>
      <c r="I50" s="78">
        <f t="shared" si="0"/>
        <v>0.19402850002906638</v>
      </c>
    </row>
    <row r="51" spans="1:9" ht="15" x14ac:dyDescent="0.2">
      <c r="A51" s="116" t="s">
        <v>38</v>
      </c>
      <c r="B51" s="124">
        <v>3</v>
      </c>
      <c r="H51" s="77">
        <v>19</v>
      </c>
      <c r="I51" s="78">
        <f t="shared" si="0"/>
        <v>0.1885618083164127</v>
      </c>
    </row>
    <row r="52" spans="1:9" ht="15.75" thickBot="1" x14ac:dyDescent="0.25">
      <c r="A52" s="118" t="s">
        <v>39</v>
      </c>
      <c r="B52" s="126" t="s">
        <v>40</v>
      </c>
      <c r="H52" s="77">
        <v>20</v>
      </c>
      <c r="I52" s="78">
        <f t="shared" si="0"/>
        <v>0.1835325870964494</v>
      </c>
    </row>
    <row r="53" spans="1:9" ht="13.5" thickBot="1" x14ac:dyDescent="0.25">
      <c r="H53" s="77">
        <v>21</v>
      </c>
      <c r="I53" s="78">
        <f t="shared" si="0"/>
        <v>0.17888543819998318</v>
      </c>
    </row>
    <row r="54" spans="1:9" x14ac:dyDescent="0.2">
      <c r="B54" s="195" t="s">
        <v>138</v>
      </c>
      <c r="C54" s="196" t="s">
        <v>60</v>
      </c>
      <c r="D54" s="196" t="s">
        <v>118</v>
      </c>
      <c r="E54" s="197" t="s">
        <v>59</v>
      </c>
      <c r="H54" s="77">
        <v>22</v>
      </c>
      <c r="I54" s="78">
        <f t="shared" si="0"/>
        <v>0.17457431218879393</v>
      </c>
    </row>
    <row r="55" spans="1:9" x14ac:dyDescent="0.2">
      <c r="B55" s="166">
        <v>6</v>
      </c>
      <c r="C55" s="161" t="str">
        <f>"6/8"</f>
        <v>6/8</v>
      </c>
      <c r="D55" s="164" t="s">
        <v>164</v>
      </c>
      <c r="E55" s="167"/>
      <c r="H55" s="77">
        <v>23</v>
      </c>
      <c r="I55" s="78">
        <f t="shared" si="0"/>
        <v>0.17056057308448835</v>
      </c>
    </row>
    <row r="56" spans="1:9" x14ac:dyDescent="0.2">
      <c r="B56" s="166">
        <v>6.5</v>
      </c>
      <c r="C56" s="163" t="str">
        <f>"8/10"</f>
        <v>8/10</v>
      </c>
      <c r="D56" s="164" t="s">
        <v>150</v>
      </c>
      <c r="E56" s="167"/>
      <c r="H56" s="77">
        <v>24</v>
      </c>
      <c r="I56" s="78">
        <f t="shared" si="0"/>
        <v>0.16681153124565984</v>
      </c>
    </row>
    <row r="57" spans="1:9" x14ac:dyDescent="0.2">
      <c r="B57" s="166">
        <v>7</v>
      </c>
      <c r="C57" s="162" t="str">
        <f>"8/10"</f>
        <v>8/10</v>
      </c>
      <c r="D57" s="164" t="s">
        <v>150</v>
      </c>
      <c r="E57" s="167"/>
      <c r="H57" s="77">
        <v>25</v>
      </c>
      <c r="I57" s="78">
        <f t="shared" si="0"/>
        <v>0.16329931618554522</v>
      </c>
    </row>
    <row r="58" spans="1:9" x14ac:dyDescent="0.2">
      <c r="B58" s="166">
        <v>7.5</v>
      </c>
      <c r="C58" s="164" t="s">
        <v>150</v>
      </c>
      <c r="D58" s="164" t="s">
        <v>150</v>
      </c>
      <c r="E58" s="167"/>
      <c r="H58" s="77">
        <v>26</v>
      </c>
      <c r="I58" s="78">
        <f t="shared" si="0"/>
        <v>0.16</v>
      </c>
    </row>
    <row r="59" spans="1:9" x14ac:dyDescent="0.2">
      <c r="B59" s="166">
        <v>8</v>
      </c>
      <c r="C59" s="164" t="s">
        <v>150</v>
      </c>
      <c r="D59" s="164" t="s">
        <v>150</v>
      </c>
      <c r="E59" s="167"/>
      <c r="H59" s="77">
        <v>27</v>
      </c>
      <c r="I59" s="78">
        <f t="shared" si="0"/>
        <v>0.15689290811054724</v>
      </c>
    </row>
    <row r="60" spans="1:9" x14ac:dyDescent="0.2">
      <c r="B60" s="166">
        <v>8.5</v>
      </c>
      <c r="C60" s="164" t="s">
        <v>139</v>
      </c>
      <c r="D60" s="164" t="s">
        <v>159</v>
      </c>
      <c r="E60" s="198" t="s">
        <v>139</v>
      </c>
      <c r="H60" s="77">
        <v>28</v>
      </c>
      <c r="I60" s="78">
        <f t="shared" si="0"/>
        <v>0.1539600717839002</v>
      </c>
    </row>
    <row r="61" spans="1:9" x14ac:dyDescent="0.2">
      <c r="B61" s="166">
        <v>9</v>
      </c>
      <c r="C61" s="164" t="s">
        <v>139</v>
      </c>
      <c r="D61" s="164" t="s">
        <v>159</v>
      </c>
      <c r="E61" s="198" t="s">
        <v>139</v>
      </c>
      <c r="H61" s="77">
        <v>29</v>
      </c>
      <c r="I61" s="78">
        <f t="shared" si="0"/>
        <v>0.15118578920369088</v>
      </c>
    </row>
    <row r="62" spans="1:9" x14ac:dyDescent="0.2">
      <c r="B62" s="166">
        <v>9.5</v>
      </c>
      <c r="C62" s="164" t="s">
        <v>139</v>
      </c>
      <c r="D62" s="164" t="s">
        <v>159</v>
      </c>
      <c r="E62" s="198" t="s">
        <v>139</v>
      </c>
      <c r="H62" s="77">
        <v>30</v>
      </c>
      <c r="I62" s="78">
        <f t="shared" si="0"/>
        <v>0.1485562705416415</v>
      </c>
    </row>
    <row r="63" spans="1:9" x14ac:dyDescent="0.2">
      <c r="B63" s="166">
        <v>10</v>
      </c>
      <c r="C63" s="164" t="s">
        <v>139</v>
      </c>
      <c r="D63" s="164" t="s">
        <v>159</v>
      </c>
      <c r="E63" s="198" t="s">
        <v>139</v>
      </c>
      <c r="H63" s="77">
        <v>31</v>
      </c>
      <c r="I63" s="78">
        <f t="shared" si="0"/>
        <v>0.14605934866804429</v>
      </c>
    </row>
    <row r="64" spans="1:9" x14ac:dyDescent="0.2">
      <c r="B64" s="166">
        <v>10.5</v>
      </c>
      <c r="C64" s="264" t="s">
        <v>140</v>
      </c>
      <c r="D64" s="164" t="s">
        <v>159</v>
      </c>
      <c r="E64" s="198" t="s">
        <v>159</v>
      </c>
      <c r="H64" s="77">
        <v>32</v>
      </c>
      <c r="I64" s="78">
        <f t="shared" si="0"/>
        <v>0.14368424162141993</v>
      </c>
    </row>
    <row r="65" spans="2:9" x14ac:dyDescent="0.2">
      <c r="B65" s="166">
        <v>11</v>
      </c>
      <c r="C65" s="264" t="s">
        <v>140</v>
      </c>
      <c r="D65" s="164" t="s">
        <v>159</v>
      </c>
      <c r="E65" s="198" t="s">
        <v>159</v>
      </c>
      <c r="H65" s="77">
        <v>33</v>
      </c>
      <c r="I65" s="78">
        <f t="shared" si="0"/>
        <v>0.1414213562373095</v>
      </c>
    </row>
    <row r="66" spans="2:9" x14ac:dyDescent="0.2">
      <c r="B66" s="166">
        <v>11.5</v>
      </c>
      <c r="C66" s="264" t="s">
        <v>140</v>
      </c>
      <c r="D66" s="164" t="s">
        <v>159</v>
      </c>
      <c r="E66" s="198" t="s">
        <v>159</v>
      </c>
      <c r="H66" s="77">
        <v>34</v>
      </c>
      <c r="I66" s="78">
        <f t="shared" si="0"/>
        <v>0.13926212476455829</v>
      </c>
    </row>
    <row r="67" spans="2:9" x14ac:dyDescent="0.2">
      <c r="B67" s="166">
        <v>12</v>
      </c>
      <c r="C67" s="264" t="s">
        <v>140</v>
      </c>
      <c r="D67" s="164" t="s">
        <v>159</v>
      </c>
      <c r="E67" s="198" t="s">
        <v>159</v>
      </c>
      <c r="H67" s="77">
        <v>35</v>
      </c>
      <c r="I67" s="78">
        <f t="shared" si="0"/>
        <v>0.13719886811400708</v>
      </c>
    </row>
    <row r="68" spans="2:9" x14ac:dyDescent="0.2">
      <c r="B68" s="166">
        <v>12.5</v>
      </c>
      <c r="C68" s="164" t="s">
        <v>141</v>
      </c>
      <c r="D68" s="164" t="s">
        <v>159</v>
      </c>
      <c r="E68" s="198" t="s">
        <v>159</v>
      </c>
      <c r="H68" s="77">
        <v>36</v>
      </c>
      <c r="I68" s="78">
        <f t="shared" si="0"/>
        <v>0.13522468075656266</v>
      </c>
    </row>
    <row r="69" spans="2:9" x14ac:dyDescent="0.2">
      <c r="B69" s="166">
        <v>13</v>
      </c>
      <c r="C69" s="164" t="s">
        <v>141</v>
      </c>
      <c r="D69" s="164" t="s">
        <v>158</v>
      </c>
      <c r="E69" s="198" t="s">
        <v>159</v>
      </c>
      <c r="H69" s="77">
        <v>37</v>
      </c>
      <c r="I69" s="78">
        <f t="shared" si="0"/>
        <v>0.13333333333333333</v>
      </c>
    </row>
    <row r="70" spans="2:9" x14ac:dyDescent="0.2">
      <c r="B70" s="166">
        <v>13.5</v>
      </c>
      <c r="C70" s="164" t="s">
        <v>141</v>
      </c>
      <c r="D70" s="164" t="s">
        <v>158</v>
      </c>
      <c r="E70" s="198" t="s">
        <v>160</v>
      </c>
      <c r="H70" s="77">
        <v>38</v>
      </c>
      <c r="I70" s="78">
        <f t="shared" si="0"/>
        <v>0.13151918984428584</v>
      </c>
    </row>
    <row r="71" spans="2:9" x14ac:dyDescent="0.2">
      <c r="B71" s="166">
        <v>14</v>
      </c>
      <c r="C71" s="164" t="s">
        <v>141</v>
      </c>
      <c r="D71" s="164" t="s">
        <v>158</v>
      </c>
      <c r="E71" s="198" t="s">
        <v>160</v>
      </c>
      <c r="H71" s="77">
        <v>39</v>
      </c>
      <c r="I71" s="78">
        <f t="shared" si="0"/>
        <v>0.12977713690461004</v>
      </c>
    </row>
    <row r="72" spans="2:9" x14ac:dyDescent="0.2">
      <c r="B72" s="166">
        <v>14.5</v>
      </c>
      <c r="C72" s="164" t="s">
        <v>142</v>
      </c>
      <c r="D72" s="164" t="s">
        <v>165</v>
      </c>
      <c r="E72" s="198" t="s">
        <v>160</v>
      </c>
      <c r="H72" s="77">
        <v>40</v>
      </c>
      <c r="I72" s="78">
        <f t="shared" si="0"/>
        <v>0.12810252304406972</v>
      </c>
    </row>
    <row r="73" spans="2:9" x14ac:dyDescent="0.2">
      <c r="B73" s="166">
        <v>15</v>
      </c>
      <c r="C73" s="164" t="s">
        <v>142</v>
      </c>
      <c r="D73" s="164" t="s">
        <v>165</v>
      </c>
      <c r="E73" s="198" t="s">
        <v>160</v>
      </c>
      <c r="H73" s="77">
        <v>41</v>
      </c>
      <c r="I73" s="78">
        <f t="shared" si="0"/>
        <v>0.12649110640673517</v>
      </c>
    </row>
    <row r="74" spans="2:9" x14ac:dyDescent="0.2">
      <c r="B74" s="166">
        <v>15.5</v>
      </c>
      <c r="C74" s="164" t="s">
        <v>142</v>
      </c>
      <c r="D74" s="164" t="s">
        <v>166</v>
      </c>
      <c r="E74" s="198" t="s">
        <v>160</v>
      </c>
      <c r="H74" s="77">
        <v>42</v>
      </c>
      <c r="I74" s="78">
        <f t="shared" si="0"/>
        <v>0.12493900951088487</v>
      </c>
    </row>
    <row r="75" spans="2:9" x14ac:dyDescent="0.2">
      <c r="B75" s="166">
        <v>16</v>
      </c>
      <c r="C75" s="164" t="s">
        <v>142</v>
      </c>
      <c r="D75" s="164" t="s">
        <v>166</v>
      </c>
      <c r="E75" s="198" t="s">
        <v>160</v>
      </c>
      <c r="H75" s="77">
        <v>43</v>
      </c>
      <c r="I75" s="78">
        <f t="shared" si="0"/>
        <v>0.12344267996967354</v>
      </c>
    </row>
    <row r="76" spans="2:9" x14ac:dyDescent="0.2">
      <c r="B76" s="166">
        <v>16.5</v>
      </c>
      <c r="C76" s="164" t="s">
        <v>149</v>
      </c>
      <c r="D76" s="164" t="s">
        <v>166</v>
      </c>
      <c r="E76" s="198" t="s">
        <v>161</v>
      </c>
      <c r="H76" s="77">
        <v>44</v>
      </c>
      <c r="I76" s="78">
        <f t="shared" si="0"/>
        <v>0.12199885626608374</v>
      </c>
    </row>
    <row r="77" spans="2:9" x14ac:dyDescent="0.2">
      <c r="B77" s="166">
        <v>17</v>
      </c>
      <c r="C77" s="164" t="s">
        <v>149</v>
      </c>
      <c r="D77" s="164" t="s">
        <v>166</v>
      </c>
      <c r="E77" s="198" t="s">
        <v>161</v>
      </c>
      <c r="H77" s="77">
        <v>45</v>
      </c>
      <c r="I77" s="78">
        <f t="shared" si="0"/>
        <v>0.12060453783110546</v>
      </c>
    </row>
    <row r="78" spans="2:9" x14ac:dyDescent="0.2">
      <c r="B78" s="166">
        <v>17.5</v>
      </c>
      <c r="C78" s="164" t="s">
        <v>149</v>
      </c>
      <c r="D78" s="164" t="s">
        <v>162</v>
      </c>
      <c r="E78" s="198" t="s">
        <v>161</v>
      </c>
      <c r="H78" s="77">
        <v>46</v>
      </c>
      <c r="I78" s="78">
        <f t="shared" si="0"/>
        <v>0.11925695879998878</v>
      </c>
    </row>
    <row r="79" spans="2:9" x14ac:dyDescent="0.2">
      <c r="B79" s="166">
        <v>18</v>
      </c>
      <c r="C79" s="164" t="s">
        <v>149</v>
      </c>
      <c r="D79" s="164" t="s">
        <v>162</v>
      </c>
      <c r="E79" s="198" t="s">
        <v>161</v>
      </c>
      <c r="H79" s="77">
        <v>47</v>
      </c>
      <c r="I79" s="78">
        <f t="shared" si="0"/>
        <v>0.11795356492391772</v>
      </c>
    </row>
    <row r="80" spans="2:9" x14ac:dyDescent="0.2">
      <c r="B80" s="166">
        <v>18.5</v>
      </c>
      <c r="C80" s="164" t="s">
        <v>143</v>
      </c>
      <c r="D80" s="164" t="s">
        <v>162</v>
      </c>
      <c r="E80" s="198" t="s">
        <v>161</v>
      </c>
      <c r="H80" s="77">
        <v>48</v>
      </c>
      <c r="I80" s="78">
        <f t="shared" si="0"/>
        <v>0.11669199319831565</v>
      </c>
    </row>
    <row r="81" spans="2:9" x14ac:dyDescent="0.2">
      <c r="B81" s="166">
        <v>19</v>
      </c>
      <c r="C81" s="164" t="s">
        <v>143</v>
      </c>
      <c r="D81" s="164" t="s">
        <v>162</v>
      </c>
      <c r="E81" s="198" t="s">
        <v>161</v>
      </c>
      <c r="H81" s="77">
        <v>49</v>
      </c>
      <c r="I81" s="78">
        <f t="shared" si="0"/>
        <v>0.11547005383792516</v>
      </c>
    </row>
    <row r="82" spans="2:9" x14ac:dyDescent="0.2">
      <c r="B82" s="166">
        <v>19.5</v>
      </c>
      <c r="C82" s="164" t="s">
        <v>143</v>
      </c>
      <c r="D82" s="164" t="s">
        <v>162</v>
      </c>
      <c r="E82" s="198" t="s">
        <v>161</v>
      </c>
      <c r="H82" s="77">
        <v>50</v>
      </c>
      <c r="I82" s="78">
        <f t="shared" si="0"/>
        <v>0.1142857142857143</v>
      </c>
    </row>
    <row r="83" spans="2:9" x14ac:dyDescent="0.2">
      <c r="B83" s="166">
        <v>20</v>
      </c>
      <c r="C83" s="164" t="s">
        <v>143</v>
      </c>
      <c r="D83" s="164" t="s">
        <v>162</v>
      </c>
      <c r="E83" s="198" t="s">
        <v>161</v>
      </c>
      <c r="H83" s="77">
        <v>51</v>
      </c>
      <c r="I83" s="78">
        <f t="shared" si="0"/>
        <v>0.11313708498984761</v>
      </c>
    </row>
    <row r="84" spans="2:9" x14ac:dyDescent="0.2">
      <c r="B84" s="166">
        <v>20.5</v>
      </c>
      <c r="C84" s="164" t="s">
        <v>144</v>
      </c>
      <c r="D84" s="164" t="s">
        <v>162</v>
      </c>
      <c r="E84" s="198" t="s">
        <v>163</v>
      </c>
      <c r="H84" s="77">
        <v>52</v>
      </c>
      <c r="I84" s="78">
        <f t="shared" si="0"/>
        <v>0.11202240672224079</v>
      </c>
    </row>
    <row r="85" spans="2:9" x14ac:dyDescent="0.2">
      <c r="B85" s="166">
        <v>21</v>
      </c>
      <c r="C85" s="164" t="s">
        <v>144</v>
      </c>
      <c r="D85" s="164" t="s">
        <v>162</v>
      </c>
      <c r="E85" s="198" t="s">
        <v>163</v>
      </c>
      <c r="H85" s="77">
        <v>53</v>
      </c>
      <c r="I85" s="78">
        <f t="shared" si="0"/>
        <v>0.11094003924504584</v>
      </c>
    </row>
    <row r="86" spans="2:9" x14ac:dyDescent="0.2">
      <c r="B86" s="166">
        <v>21.5</v>
      </c>
      <c r="C86" s="164" t="s">
        <v>144</v>
      </c>
      <c r="D86" s="164" t="s">
        <v>162</v>
      </c>
      <c r="E86" s="198" t="s">
        <v>163</v>
      </c>
      <c r="H86" s="77">
        <v>54</v>
      </c>
      <c r="I86" s="78">
        <f t="shared" si="0"/>
        <v>0.10988845115895123</v>
      </c>
    </row>
    <row r="87" spans="2:9" x14ac:dyDescent="0.2">
      <c r="B87" s="166">
        <v>22</v>
      </c>
      <c r="C87" s="164" t="s">
        <v>144</v>
      </c>
      <c r="D87" s="164" t="s">
        <v>162</v>
      </c>
      <c r="E87" s="198" t="s">
        <v>163</v>
      </c>
      <c r="H87" s="77">
        <v>55</v>
      </c>
      <c r="I87" s="78">
        <f t="shared" si="0"/>
        <v>0.10886621079036347</v>
      </c>
    </row>
    <row r="88" spans="2:9" x14ac:dyDescent="0.2">
      <c r="B88" s="166">
        <v>22.5</v>
      </c>
      <c r="C88" s="165" t="s">
        <v>145</v>
      </c>
      <c r="D88" s="164" t="s">
        <v>167</v>
      </c>
      <c r="E88" s="198" t="s">
        <v>163</v>
      </c>
      <c r="H88" s="77">
        <v>56</v>
      </c>
      <c r="I88" s="78">
        <f t="shared" si="0"/>
        <v>0.10787197799411874</v>
      </c>
    </row>
    <row r="89" spans="2:9" x14ac:dyDescent="0.2">
      <c r="B89" s="166">
        <v>23</v>
      </c>
      <c r="C89" s="165" t="s">
        <v>145</v>
      </c>
      <c r="D89" s="164" t="s">
        <v>167</v>
      </c>
      <c r="E89" s="198" t="s">
        <v>163</v>
      </c>
      <c r="H89" s="77">
        <v>57</v>
      </c>
      <c r="I89" s="78">
        <f t="shared" si="0"/>
        <v>0.10690449676496976</v>
      </c>
    </row>
    <row r="90" spans="2:9" x14ac:dyDescent="0.2">
      <c r="B90" s="166">
        <v>23.5</v>
      </c>
      <c r="C90" s="165" t="s">
        <v>145</v>
      </c>
      <c r="D90" s="164" t="s">
        <v>167</v>
      </c>
      <c r="E90" s="198" t="s">
        <v>163</v>
      </c>
      <c r="H90" s="77">
        <v>58</v>
      </c>
      <c r="I90" s="78">
        <f t="shared" si="0"/>
        <v>0.10596258856520351</v>
      </c>
    </row>
    <row r="91" spans="2:9" x14ac:dyDescent="0.2">
      <c r="B91" s="166">
        <v>24</v>
      </c>
      <c r="C91" s="165" t="s">
        <v>145</v>
      </c>
      <c r="D91" s="164" t="s">
        <v>167</v>
      </c>
      <c r="E91" s="198" t="s">
        <v>163</v>
      </c>
      <c r="H91" s="77">
        <v>59</v>
      </c>
      <c r="I91" s="78">
        <f t="shared" si="0"/>
        <v>0.10504514628777804</v>
      </c>
    </row>
    <row r="92" spans="2:9" x14ac:dyDescent="0.2">
      <c r="B92" s="166">
        <v>24.5</v>
      </c>
      <c r="C92" s="164" t="s">
        <v>146</v>
      </c>
      <c r="D92" s="164" t="s">
        <v>167</v>
      </c>
      <c r="E92" s="198" t="s">
        <v>163</v>
      </c>
      <c r="H92" s="77">
        <v>60</v>
      </c>
      <c r="I92" s="78">
        <f t="shared" si="0"/>
        <v>0.10415112878465911</v>
      </c>
    </row>
    <row r="93" spans="2:9" x14ac:dyDescent="0.2">
      <c r="B93" s="166">
        <v>25</v>
      </c>
      <c r="C93" s="164" t="s">
        <v>146</v>
      </c>
      <c r="D93" s="164" t="s">
        <v>167</v>
      </c>
      <c r="E93" s="198" t="s">
        <v>163</v>
      </c>
      <c r="H93" s="77">
        <v>61</v>
      </c>
      <c r="I93" s="78">
        <f t="shared" si="0"/>
        <v>0.10327955589886445</v>
      </c>
    </row>
    <row r="94" spans="2:9" x14ac:dyDescent="0.2">
      <c r="B94" s="166">
        <v>25.5</v>
      </c>
      <c r="C94" s="164" t="s">
        <v>146</v>
      </c>
      <c r="D94" s="164" t="s">
        <v>167</v>
      </c>
      <c r="E94" s="198" t="s">
        <v>163</v>
      </c>
      <c r="H94" s="77">
        <v>62</v>
      </c>
      <c r="I94" s="78">
        <f t="shared" si="0"/>
        <v>0.10242950394631679</v>
      </c>
    </row>
    <row r="95" spans="2:9" x14ac:dyDescent="0.2">
      <c r="B95" s="166">
        <v>26</v>
      </c>
      <c r="C95" s="164" t="s">
        <v>146</v>
      </c>
      <c r="D95" s="164" t="s">
        <v>167</v>
      </c>
      <c r="E95" s="198" t="s">
        <v>163</v>
      </c>
      <c r="H95" s="77">
        <v>63</v>
      </c>
      <c r="I95" s="78">
        <f t="shared" si="0"/>
        <v>0.1016001016001524</v>
      </c>
    </row>
    <row r="96" spans="2:9" x14ac:dyDescent="0.2">
      <c r="B96" s="166">
        <v>26.5</v>
      </c>
      <c r="C96" s="164" t="s">
        <v>147</v>
      </c>
      <c r="D96" s="164" t="s">
        <v>167</v>
      </c>
      <c r="E96" s="168"/>
      <c r="H96" s="77">
        <v>64</v>
      </c>
      <c r="I96" s="78">
        <f t="shared" si="0"/>
        <v>0.10079052613579392</v>
      </c>
    </row>
    <row r="97" spans="2:9" x14ac:dyDescent="0.2">
      <c r="B97" s="166">
        <v>27</v>
      </c>
      <c r="C97" s="164" t="s">
        <v>148</v>
      </c>
      <c r="D97" s="164" t="s">
        <v>167</v>
      </c>
      <c r="E97" s="168"/>
      <c r="H97" s="77">
        <v>65</v>
      </c>
      <c r="I97" s="78">
        <f t="shared" si="0"/>
        <v>0.1</v>
      </c>
    </row>
    <row r="98" spans="2:9" x14ac:dyDescent="0.2">
      <c r="B98" s="166">
        <v>27.5</v>
      </c>
      <c r="C98" s="164" t="s">
        <v>147</v>
      </c>
      <c r="D98" s="164" t="s">
        <v>167</v>
      </c>
      <c r="E98" s="168"/>
      <c r="H98" s="77">
        <v>66</v>
      </c>
      <c r="I98" s="78">
        <f t="shared" si="0"/>
        <v>9.9227787671366779E-2</v>
      </c>
    </row>
    <row r="99" spans="2:9" ht="13.5" thickBot="1" x14ac:dyDescent="0.25">
      <c r="B99" s="169">
        <v>28</v>
      </c>
      <c r="C99" s="170" t="s">
        <v>147</v>
      </c>
      <c r="D99" s="170" t="s">
        <v>167</v>
      </c>
      <c r="E99" s="171"/>
      <c r="H99" s="77">
        <v>67</v>
      </c>
      <c r="I99" s="78">
        <f t="shared" si="0"/>
        <v>9.8473192783466182E-2</v>
      </c>
    </row>
    <row r="100" spans="2:9" x14ac:dyDescent="0.2">
      <c r="H100" s="77">
        <v>68</v>
      </c>
      <c r="I100" s="78">
        <f t="shared" si="0"/>
        <v>9.7735555485044173E-2</v>
      </c>
    </row>
    <row r="101" spans="2:9" x14ac:dyDescent="0.2">
      <c r="H101" s="77">
        <v>69</v>
      </c>
      <c r="I101" s="78">
        <f t="shared" si="0"/>
        <v>9.701425001453319E-2</v>
      </c>
    </row>
    <row r="102" spans="2:9" x14ac:dyDescent="0.2">
      <c r="H102" s="77">
        <v>70</v>
      </c>
      <c r="I102" s="78">
        <f t="shared" si="0"/>
        <v>9.6308682468615361E-2</v>
      </c>
    </row>
    <row r="103" spans="2:9" x14ac:dyDescent="0.2">
      <c r="H103" s="77">
        <v>71</v>
      </c>
      <c r="I103" s="78">
        <f t="shared" ref="I103:I166" si="1">0.8/((H103-1)^0.5)</f>
        <v>9.561828874675149E-2</v>
      </c>
    </row>
    <row r="104" spans="2:9" x14ac:dyDescent="0.2">
      <c r="H104" s="77">
        <v>72</v>
      </c>
      <c r="I104" s="78">
        <f t="shared" si="1"/>
        <v>9.4942532655508269E-2</v>
      </c>
    </row>
    <row r="105" spans="2:9" x14ac:dyDescent="0.2">
      <c r="H105" s="77">
        <v>73</v>
      </c>
      <c r="I105" s="78">
        <f t="shared" si="1"/>
        <v>9.428090415820635E-2</v>
      </c>
    </row>
    <row r="106" spans="2:9" x14ac:dyDescent="0.2">
      <c r="H106" s="77">
        <v>74</v>
      </c>
      <c r="I106" s="78">
        <f t="shared" si="1"/>
        <v>9.3632917756904466E-2</v>
      </c>
    </row>
    <row r="107" spans="2:9" x14ac:dyDescent="0.2">
      <c r="H107" s="77">
        <v>75</v>
      </c>
      <c r="I107" s="78">
        <f t="shared" si="1"/>
        <v>9.2998110995055436E-2</v>
      </c>
    </row>
    <row r="108" spans="2:9" x14ac:dyDescent="0.2">
      <c r="H108" s="77">
        <v>76</v>
      </c>
      <c r="I108" s="78">
        <f t="shared" si="1"/>
        <v>9.2376043070340114E-2</v>
      </c>
    </row>
    <row r="109" spans="2:9" x14ac:dyDescent="0.2">
      <c r="H109" s="77">
        <v>77</v>
      </c>
      <c r="I109" s="78">
        <f t="shared" si="1"/>
        <v>9.1766293548224701E-2</v>
      </c>
    </row>
    <row r="110" spans="2:9" x14ac:dyDescent="0.2">
      <c r="H110" s="77">
        <v>78</v>
      </c>
      <c r="I110" s="78">
        <f t="shared" si="1"/>
        <v>9.1168461167710352E-2</v>
      </c>
    </row>
    <row r="111" spans="2:9" x14ac:dyDescent="0.2">
      <c r="H111" s="77">
        <v>79</v>
      </c>
      <c r="I111" s="78">
        <f t="shared" si="1"/>
        <v>9.0582162731567661E-2</v>
      </c>
    </row>
    <row r="112" spans="2:9" x14ac:dyDescent="0.2">
      <c r="H112" s="77">
        <v>80</v>
      </c>
      <c r="I112" s="78">
        <f t="shared" si="1"/>
        <v>9.0007032074081922E-2</v>
      </c>
    </row>
    <row r="113" spans="8:9" x14ac:dyDescent="0.2">
      <c r="H113" s="77">
        <v>81</v>
      </c>
      <c r="I113" s="78">
        <f t="shared" si="1"/>
        <v>8.9442719099991588E-2</v>
      </c>
    </row>
    <row r="114" spans="8:9" x14ac:dyDescent="0.2">
      <c r="H114" s="77">
        <v>82</v>
      </c>
      <c r="I114" s="78">
        <f t="shared" si="1"/>
        <v>8.8888888888888892E-2</v>
      </c>
    </row>
    <row r="115" spans="8:9" x14ac:dyDescent="0.2">
      <c r="H115" s="77">
        <v>83</v>
      </c>
      <c r="I115" s="78">
        <f t="shared" si="1"/>
        <v>8.8345220859877227E-2</v>
      </c>
    </row>
    <row r="116" spans="8:9" x14ac:dyDescent="0.2">
      <c r="H116" s="77">
        <v>84</v>
      </c>
      <c r="I116" s="78">
        <f t="shared" si="1"/>
        <v>8.7811407991752286E-2</v>
      </c>
    </row>
    <row r="117" spans="8:9" x14ac:dyDescent="0.2">
      <c r="H117" s="77">
        <v>85</v>
      </c>
      <c r="I117" s="78">
        <f t="shared" si="1"/>
        <v>8.7287156094396967E-2</v>
      </c>
    </row>
    <row r="118" spans="8:9" x14ac:dyDescent="0.2">
      <c r="H118" s="77">
        <v>86</v>
      </c>
      <c r="I118" s="78">
        <f t="shared" si="1"/>
        <v>8.6772183127462474E-2</v>
      </c>
    </row>
    <row r="119" spans="8:9" x14ac:dyDescent="0.2">
      <c r="H119" s="77">
        <v>87</v>
      </c>
      <c r="I119" s="78">
        <f t="shared" si="1"/>
        <v>8.6266218562750741E-2</v>
      </c>
    </row>
    <row r="120" spans="8:9" x14ac:dyDescent="0.2">
      <c r="H120" s="77">
        <v>88</v>
      </c>
      <c r="I120" s="78">
        <f t="shared" si="1"/>
        <v>8.5769002787023582E-2</v>
      </c>
    </row>
    <row r="121" spans="8:9" x14ac:dyDescent="0.2">
      <c r="H121" s="77">
        <v>89</v>
      </c>
      <c r="I121" s="78">
        <f t="shared" si="1"/>
        <v>8.5280286542244177E-2</v>
      </c>
    </row>
    <row r="122" spans="8:9" x14ac:dyDescent="0.2">
      <c r="H122" s="77">
        <v>90</v>
      </c>
      <c r="I122" s="78">
        <f t="shared" si="1"/>
        <v>8.4799830400508813E-2</v>
      </c>
    </row>
    <row r="123" spans="8:9" x14ac:dyDescent="0.2">
      <c r="H123" s="77">
        <v>91</v>
      </c>
      <c r="I123" s="78">
        <f t="shared" si="1"/>
        <v>8.4327404271156786E-2</v>
      </c>
    </row>
    <row r="124" spans="8:9" x14ac:dyDescent="0.2">
      <c r="H124" s="77">
        <v>92</v>
      </c>
      <c r="I124" s="78">
        <f t="shared" si="1"/>
        <v>8.3862786937753467E-2</v>
      </c>
    </row>
    <row r="125" spans="8:9" x14ac:dyDescent="0.2">
      <c r="H125" s="77">
        <v>93</v>
      </c>
      <c r="I125" s="78">
        <f t="shared" si="1"/>
        <v>8.3405765622829919E-2</v>
      </c>
    </row>
    <row r="126" spans="8:9" x14ac:dyDescent="0.2">
      <c r="H126" s="77">
        <v>94</v>
      </c>
      <c r="I126" s="78">
        <f t="shared" si="1"/>
        <v>8.2956135578434023E-2</v>
      </c>
    </row>
    <row r="127" spans="8:9" x14ac:dyDescent="0.2">
      <c r="H127" s="77">
        <v>95</v>
      </c>
      <c r="I127" s="78">
        <f t="shared" si="1"/>
        <v>8.2513699700703477E-2</v>
      </c>
    </row>
    <row r="128" spans="8:9" x14ac:dyDescent="0.2">
      <c r="H128" s="77">
        <v>96</v>
      </c>
      <c r="I128" s="78">
        <f t="shared" si="1"/>
        <v>8.2078268166812338E-2</v>
      </c>
    </row>
    <row r="129" spans="8:9" x14ac:dyDescent="0.2">
      <c r="H129" s="77">
        <v>97</v>
      </c>
      <c r="I129" s="78">
        <f t="shared" si="1"/>
        <v>8.1649658092772609E-2</v>
      </c>
    </row>
    <row r="130" spans="8:9" x14ac:dyDescent="0.2">
      <c r="H130" s="77">
        <v>98</v>
      </c>
      <c r="I130" s="78">
        <f t="shared" si="1"/>
        <v>8.1227693210689539E-2</v>
      </c>
    </row>
    <row r="131" spans="8:9" x14ac:dyDescent="0.2">
      <c r="H131" s="77">
        <v>99</v>
      </c>
      <c r="I131" s="78">
        <f t="shared" si="1"/>
        <v>8.0812203564176871E-2</v>
      </c>
    </row>
    <row r="132" spans="8:9" x14ac:dyDescent="0.2">
      <c r="H132" s="77">
        <v>100</v>
      </c>
      <c r="I132" s="78">
        <f t="shared" si="1"/>
        <v>8.0403025220736973E-2</v>
      </c>
    </row>
    <row r="133" spans="8:9" x14ac:dyDescent="0.2">
      <c r="H133" s="77">
        <v>101</v>
      </c>
      <c r="I133" s="78">
        <f t="shared" si="1"/>
        <v>0.08</v>
      </c>
    </row>
    <row r="134" spans="8:9" x14ac:dyDescent="0.2">
      <c r="H134" s="77">
        <v>102</v>
      </c>
      <c r="I134" s="78">
        <f t="shared" si="1"/>
        <v>7.9602975216799141E-2</v>
      </c>
    </row>
    <row r="135" spans="8:9" x14ac:dyDescent="0.2">
      <c r="H135" s="77">
        <v>103</v>
      </c>
      <c r="I135" s="78">
        <f t="shared" si="1"/>
        <v>7.9211803438133957E-2</v>
      </c>
    </row>
    <row r="136" spans="8:9" x14ac:dyDescent="0.2">
      <c r="H136" s="77">
        <v>104</v>
      </c>
      <c r="I136" s="78">
        <f t="shared" si="1"/>
        <v>7.8826342253143458E-2</v>
      </c>
    </row>
    <row r="137" spans="8:9" x14ac:dyDescent="0.2">
      <c r="H137" s="77">
        <v>105</v>
      </c>
      <c r="I137" s="78">
        <f t="shared" si="1"/>
        <v>7.8446454055273618E-2</v>
      </c>
    </row>
    <row r="138" spans="8:9" x14ac:dyDescent="0.2">
      <c r="H138" s="77">
        <v>106</v>
      </c>
      <c r="I138" s="78">
        <f t="shared" si="1"/>
        <v>7.8072005835882669E-2</v>
      </c>
    </row>
    <row r="139" spans="8:9" x14ac:dyDescent="0.2">
      <c r="H139" s="77">
        <v>107</v>
      </c>
      <c r="I139" s="78">
        <f t="shared" si="1"/>
        <v>7.7702868988581142E-2</v>
      </c>
    </row>
    <row r="140" spans="8:9" x14ac:dyDescent="0.2">
      <c r="H140" s="77">
        <v>108</v>
      </c>
      <c r="I140" s="78">
        <f t="shared" si="1"/>
        <v>7.733891912365308E-2</v>
      </c>
    </row>
    <row r="141" spans="8:9" x14ac:dyDescent="0.2">
      <c r="H141" s="77">
        <v>109</v>
      </c>
      <c r="I141" s="78">
        <f t="shared" si="1"/>
        <v>7.6980035891950099E-2</v>
      </c>
    </row>
    <row r="142" spans="8:9" x14ac:dyDescent="0.2">
      <c r="H142" s="77">
        <v>110</v>
      </c>
      <c r="I142" s="78">
        <f t="shared" si="1"/>
        <v>7.662610281769211E-2</v>
      </c>
    </row>
    <row r="143" spans="8:9" x14ac:dyDescent="0.2">
      <c r="H143" s="77">
        <v>111</v>
      </c>
      <c r="I143" s="78">
        <f t="shared" si="1"/>
        <v>7.6277007139647385E-2</v>
      </c>
    </row>
    <row r="144" spans="8:9" x14ac:dyDescent="0.2">
      <c r="H144" s="77">
        <v>112</v>
      </c>
      <c r="I144" s="78">
        <f t="shared" si="1"/>
        <v>7.5932639660199933E-2</v>
      </c>
    </row>
    <row r="145" spans="8:9" x14ac:dyDescent="0.2">
      <c r="H145" s="77">
        <v>113</v>
      </c>
      <c r="I145" s="78">
        <f t="shared" si="1"/>
        <v>7.5592894601845442E-2</v>
      </c>
    </row>
    <row r="146" spans="8:9" x14ac:dyDescent="0.2">
      <c r="H146" s="77">
        <v>114</v>
      </c>
      <c r="I146" s="78">
        <f t="shared" si="1"/>
        <v>7.525766947068778E-2</v>
      </c>
    </row>
    <row r="147" spans="8:9" x14ac:dyDescent="0.2">
      <c r="H147" s="77">
        <v>115</v>
      </c>
      <c r="I147" s="78">
        <f t="shared" si="1"/>
        <v>7.4926864926535525E-2</v>
      </c>
    </row>
    <row r="148" spans="8:9" x14ac:dyDescent="0.2">
      <c r="H148" s="77">
        <v>116</v>
      </c>
      <c r="I148" s="78">
        <f t="shared" si="1"/>
        <v>7.4600384659225111E-2</v>
      </c>
    </row>
    <row r="149" spans="8:9" x14ac:dyDescent="0.2">
      <c r="H149" s="77">
        <v>117</v>
      </c>
      <c r="I149" s="78">
        <f t="shared" si="1"/>
        <v>7.427813527082075E-2</v>
      </c>
    </row>
    <row r="150" spans="8:9" x14ac:dyDescent="0.2">
      <c r="H150" s="77">
        <v>118</v>
      </c>
      <c r="I150" s="78">
        <f t="shared" si="1"/>
        <v>7.3960026163363876E-2</v>
      </c>
    </row>
    <row r="151" spans="8:9" x14ac:dyDescent="0.2">
      <c r="H151" s="77">
        <v>119</v>
      </c>
      <c r="I151" s="78">
        <f t="shared" si="1"/>
        <v>7.3645969431865868E-2</v>
      </c>
    </row>
    <row r="152" spans="8:9" x14ac:dyDescent="0.2">
      <c r="H152" s="77">
        <v>120</v>
      </c>
      <c r="I152" s="78">
        <f t="shared" si="1"/>
        <v>7.3335879762256917E-2</v>
      </c>
    </row>
    <row r="153" spans="8:9" x14ac:dyDescent="0.2">
      <c r="H153" s="77">
        <v>121</v>
      </c>
      <c r="I153" s="78">
        <f t="shared" si="1"/>
        <v>7.3029674334022146E-2</v>
      </c>
    </row>
    <row r="154" spans="8:9" x14ac:dyDescent="0.2">
      <c r="H154" s="77">
        <v>122</v>
      </c>
      <c r="I154" s="78">
        <f t="shared" si="1"/>
        <v>7.2727272727272738E-2</v>
      </c>
    </row>
    <row r="155" spans="8:9" x14ac:dyDescent="0.2">
      <c r="H155" s="77">
        <v>123</v>
      </c>
      <c r="I155" s="78">
        <f t="shared" si="1"/>
        <v>7.2428596834014827E-2</v>
      </c>
    </row>
    <row r="156" spans="8:9" x14ac:dyDescent="0.2">
      <c r="H156" s="77">
        <v>124</v>
      </c>
      <c r="I156" s="78">
        <f t="shared" si="1"/>
        <v>7.2133570773394579E-2</v>
      </c>
    </row>
    <row r="157" spans="8:9" x14ac:dyDescent="0.2">
      <c r="H157" s="77">
        <v>125</v>
      </c>
      <c r="I157" s="78">
        <f t="shared" si="1"/>
        <v>7.1842120810709967E-2</v>
      </c>
    </row>
    <row r="158" spans="8:9" x14ac:dyDescent="0.2">
      <c r="H158" s="77">
        <v>126</v>
      </c>
      <c r="I158" s="78">
        <f t="shared" si="1"/>
        <v>7.1554175279993276E-2</v>
      </c>
    </row>
    <row r="159" spans="8:9" x14ac:dyDescent="0.2">
      <c r="H159" s="77">
        <v>127</v>
      </c>
      <c r="I159" s="78">
        <f t="shared" si="1"/>
        <v>7.1269664509979833E-2</v>
      </c>
    </row>
    <row r="160" spans="8:9" x14ac:dyDescent="0.2">
      <c r="H160" s="77">
        <v>128</v>
      </c>
      <c r="I160" s="78">
        <f t="shared" si="1"/>
        <v>7.0988520753289111E-2</v>
      </c>
    </row>
    <row r="161" spans="8:9" x14ac:dyDescent="0.2">
      <c r="H161" s="77">
        <v>129</v>
      </c>
      <c r="I161" s="78">
        <f t="shared" si="1"/>
        <v>7.0710678118654752E-2</v>
      </c>
    </row>
    <row r="162" spans="8:9" x14ac:dyDescent="0.2">
      <c r="H162" s="77">
        <v>130</v>
      </c>
      <c r="I162" s="78">
        <f t="shared" si="1"/>
        <v>7.0436072506049913E-2</v>
      </c>
    </row>
    <row r="163" spans="8:9" x14ac:dyDescent="0.2">
      <c r="H163" s="77">
        <v>131</v>
      </c>
      <c r="I163" s="78">
        <f t="shared" si="1"/>
        <v>7.0164641544562339E-2</v>
      </c>
    </row>
    <row r="164" spans="8:9" x14ac:dyDescent="0.2">
      <c r="H164" s="77">
        <v>132</v>
      </c>
      <c r="I164" s="78">
        <f t="shared" si="1"/>
        <v>6.9896324532883039E-2</v>
      </c>
    </row>
    <row r="165" spans="8:9" x14ac:dyDescent="0.2">
      <c r="H165" s="77">
        <v>133</v>
      </c>
      <c r="I165" s="78">
        <f t="shared" si="1"/>
        <v>6.9631062382279146E-2</v>
      </c>
    </row>
    <row r="166" spans="8:9" x14ac:dyDescent="0.2">
      <c r="H166" s="77">
        <v>134</v>
      </c>
      <c r="I166" s="78">
        <f t="shared" si="1"/>
        <v>6.9368797561929596E-2</v>
      </c>
    </row>
    <row r="167" spans="8:9" x14ac:dyDescent="0.2">
      <c r="H167" s="77">
        <v>135</v>
      </c>
      <c r="I167" s="78">
        <f t="shared" ref="I167:I182" si="2">0.8/((H167-1)^0.5)</f>
        <v>6.9109474046508815E-2</v>
      </c>
    </row>
    <row r="168" spans="8:9" x14ac:dyDescent="0.2">
      <c r="H168" s="77">
        <v>136</v>
      </c>
      <c r="I168" s="78">
        <f t="shared" si="2"/>
        <v>6.8853037265909633E-2</v>
      </c>
    </row>
    <row r="169" spans="8:9" x14ac:dyDescent="0.2">
      <c r="H169" s="77">
        <v>137</v>
      </c>
      <c r="I169" s="78">
        <f t="shared" si="2"/>
        <v>6.8599434057003542E-2</v>
      </c>
    </row>
    <row r="170" spans="8:9" x14ac:dyDescent="0.2">
      <c r="H170" s="77">
        <v>138</v>
      </c>
      <c r="I170" s="78">
        <f t="shared" si="2"/>
        <v>6.8348612617340876E-2</v>
      </c>
    </row>
    <row r="171" spans="8:9" x14ac:dyDescent="0.2">
      <c r="H171" s="77">
        <v>139</v>
      </c>
      <c r="I171" s="78">
        <f t="shared" si="2"/>
        <v>6.8100522460699892E-2</v>
      </c>
    </row>
    <row r="172" spans="8:9" x14ac:dyDescent="0.2">
      <c r="H172" s="77">
        <v>140</v>
      </c>
      <c r="I172" s="78">
        <f t="shared" si="2"/>
        <v>6.7855114374397688E-2</v>
      </c>
    </row>
    <row r="173" spans="8:9" x14ac:dyDescent="0.2">
      <c r="H173" s="77">
        <v>141</v>
      </c>
      <c r="I173" s="78">
        <f t="shared" si="2"/>
        <v>6.761234037828133E-2</v>
      </c>
    </row>
    <row r="174" spans="8:9" x14ac:dyDescent="0.2">
      <c r="H174" s="77">
        <v>142</v>
      </c>
      <c r="I174" s="78">
        <f t="shared" si="2"/>
        <v>6.7372153685321526E-2</v>
      </c>
    </row>
    <row r="175" spans="8:9" x14ac:dyDescent="0.2">
      <c r="H175" s="77">
        <v>143</v>
      </c>
      <c r="I175" s="78">
        <f t="shared" si="2"/>
        <v>6.7134508663735132E-2</v>
      </c>
    </row>
    <row r="176" spans="8:9" x14ac:dyDescent="0.2">
      <c r="H176" s="77">
        <v>144</v>
      </c>
      <c r="I176" s="78">
        <f t="shared" si="2"/>
        <v>6.689936080056727E-2</v>
      </c>
    </row>
    <row r="177" spans="8:9" x14ac:dyDescent="0.2">
      <c r="H177" s="77">
        <v>145</v>
      </c>
      <c r="I177" s="78">
        <f t="shared" si="2"/>
        <v>6.6666666666666666E-2</v>
      </c>
    </row>
    <row r="178" spans="8:9" x14ac:dyDescent="0.2">
      <c r="H178" s="77">
        <v>146</v>
      </c>
      <c r="I178" s="78">
        <f t="shared" si="2"/>
        <v>6.6436383882991973E-2</v>
      </c>
    </row>
    <row r="179" spans="8:9" x14ac:dyDescent="0.2">
      <c r="H179" s="77">
        <v>147</v>
      </c>
      <c r="I179" s="78">
        <f t="shared" si="2"/>
        <v>6.6208471088189433E-2</v>
      </c>
    </row>
    <row r="180" spans="8:9" x14ac:dyDescent="0.2">
      <c r="H180" s="77">
        <v>148</v>
      </c>
      <c r="I180" s="78">
        <f t="shared" si="2"/>
        <v>6.5982887907385809E-2</v>
      </c>
    </row>
    <row r="181" spans="8:9" x14ac:dyDescent="0.2">
      <c r="H181" s="77">
        <v>149</v>
      </c>
      <c r="I181" s="78">
        <f t="shared" si="2"/>
        <v>6.5759594922142922E-2</v>
      </c>
    </row>
    <row r="182" spans="8:9" ht="13.5" thickBot="1" x14ac:dyDescent="0.25">
      <c r="H182" s="92">
        <v>150</v>
      </c>
      <c r="I182" s="93">
        <f t="shared" si="2"/>
        <v>6.5538553641523251E-2</v>
      </c>
    </row>
  </sheetData>
  <mergeCells count="4">
    <mergeCell ref="A1:A3"/>
    <mergeCell ref="B1:C1"/>
    <mergeCell ref="E1:E3"/>
    <mergeCell ref="F1:F3"/>
  </mergeCells>
  <pageMargins left="0.75" right="0.75" top="1" bottom="1" header="0.4921259845" footer="0.4921259845"/>
  <pageSetup paperSize="9" orientation="portrait" r:id="rId1"/>
  <headerFooter alignWithMargins="0"/>
  <ignoredErrors>
    <ignoredError sqref="C64:C67" twoDigitTextYear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54"/>
  <sheetViews>
    <sheetView zoomScalePageLayoutView="50" workbookViewId="0">
      <selection activeCell="D20" sqref="D20"/>
    </sheetView>
  </sheetViews>
  <sheetFormatPr defaultColWidth="11.42578125" defaultRowHeight="15" x14ac:dyDescent="0.25"/>
  <cols>
    <col min="1" max="1" width="13.5703125" style="17" bestFit="1" customWidth="1"/>
    <col min="2" max="2" width="28.42578125" style="17" bestFit="1" customWidth="1"/>
    <col min="3" max="3" width="22.5703125" style="17" bestFit="1" customWidth="1"/>
    <col min="4" max="4" width="36.28515625" style="17" bestFit="1" customWidth="1"/>
    <col min="5" max="5" width="28.5703125" style="17" bestFit="1" customWidth="1"/>
    <col min="6" max="6" width="16.85546875" style="16" customWidth="1"/>
    <col min="7" max="7" width="22.140625" style="17" bestFit="1" customWidth="1"/>
    <col min="8" max="8" width="19.85546875" style="17" bestFit="1" customWidth="1"/>
    <col min="9" max="9" width="36.28515625" style="17" bestFit="1" customWidth="1"/>
    <col min="10" max="10" width="17.85546875" style="17" customWidth="1"/>
    <col min="11" max="11" width="5.7109375" style="17" customWidth="1"/>
    <col min="12" max="12" width="13.7109375" style="17" bestFit="1" customWidth="1"/>
    <col min="13" max="13" width="23.85546875" style="17" bestFit="1" customWidth="1"/>
    <col min="14" max="14" width="17" style="17" bestFit="1" customWidth="1"/>
    <col min="15" max="15" width="14.42578125" style="17" customWidth="1"/>
    <col min="16" max="16384" width="11.42578125" style="17"/>
  </cols>
  <sheetData>
    <row r="1" spans="1:15" ht="15.75" thickBot="1" x14ac:dyDescent="0.3">
      <c r="A1" s="324" t="s">
        <v>61</v>
      </c>
      <c r="B1" s="326"/>
      <c r="C1" s="326"/>
      <c r="D1" s="326"/>
      <c r="E1" s="325"/>
      <c r="G1" s="324" t="s">
        <v>62</v>
      </c>
      <c r="H1" s="325"/>
      <c r="J1" s="18" t="s">
        <v>63</v>
      </c>
      <c r="L1" s="324" t="s">
        <v>64</v>
      </c>
      <c r="M1" s="326"/>
      <c r="N1" s="326"/>
      <c r="O1" s="325"/>
    </row>
    <row r="2" spans="1:15" ht="18.75" customHeight="1" thickTop="1" thickBot="1" x14ac:dyDescent="0.3">
      <c r="A2" s="19" t="s">
        <v>53</v>
      </c>
      <c r="B2" s="20" t="s">
        <v>0</v>
      </c>
      <c r="C2" s="21" t="s">
        <v>1</v>
      </c>
      <c r="D2" s="22" t="s">
        <v>2</v>
      </c>
      <c r="E2" s="23" t="s">
        <v>1</v>
      </c>
      <c r="G2" s="24" t="s">
        <v>65</v>
      </c>
      <c r="H2" s="25" t="s">
        <v>66</v>
      </c>
      <c r="J2" s="26" t="s">
        <v>67</v>
      </c>
      <c r="L2" s="19" t="s">
        <v>68</v>
      </c>
      <c r="M2" s="20" t="s">
        <v>69</v>
      </c>
      <c r="N2" s="20" t="s">
        <v>70</v>
      </c>
      <c r="O2" s="25" t="s">
        <v>71</v>
      </c>
    </row>
    <row r="3" spans="1:15" ht="18.75" customHeight="1" thickTop="1" x14ac:dyDescent="0.25">
      <c r="A3" s="27" t="s">
        <v>52</v>
      </c>
      <c r="B3" s="28" t="s">
        <v>3</v>
      </c>
      <c r="C3" s="29">
        <v>0.2</v>
      </c>
      <c r="D3" s="30" t="s">
        <v>4</v>
      </c>
      <c r="E3" s="31">
        <v>1.2</v>
      </c>
      <c r="G3" s="43" t="s">
        <v>74</v>
      </c>
      <c r="H3" s="32" t="s">
        <v>72</v>
      </c>
      <c r="J3" s="33">
        <v>1</v>
      </c>
      <c r="L3" s="34" t="s">
        <v>52</v>
      </c>
      <c r="M3" s="54" t="s">
        <v>60</v>
      </c>
      <c r="N3" s="49">
        <v>1</v>
      </c>
      <c r="O3" s="51" t="e">
        <f>#VALUE!</f>
        <v>#VALUE!</v>
      </c>
    </row>
    <row r="4" spans="1:15" ht="18.75" customHeight="1" x14ac:dyDescent="0.25">
      <c r="A4" s="27" t="s">
        <v>46</v>
      </c>
      <c r="B4" s="35" t="s">
        <v>5</v>
      </c>
      <c r="C4" s="36">
        <v>0.2</v>
      </c>
      <c r="D4" s="37" t="s">
        <v>6</v>
      </c>
      <c r="E4" s="38">
        <v>1.2</v>
      </c>
      <c r="G4" s="48" t="s">
        <v>75</v>
      </c>
      <c r="H4" s="39" t="s">
        <v>73</v>
      </c>
      <c r="J4" s="40">
        <v>1.2</v>
      </c>
      <c r="L4" s="34"/>
      <c r="M4" s="55"/>
      <c r="N4" s="41">
        <v>1.2</v>
      </c>
      <c r="O4" s="56" t="e">
        <f>#VALUE!</f>
        <v>#VALUE!</v>
      </c>
    </row>
    <row r="5" spans="1:15" ht="18.75" customHeight="1" thickBot="1" x14ac:dyDescent="0.3">
      <c r="A5" s="220"/>
      <c r="B5" s="35" t="s">
        <v>7</v>
      </c>
      <c r="C5" s="36">
        <v>0.05</v>
      </c>
      <c r="D5" s="37" t="s">
        <v>8</v>
      </c>
      <c r="E5" s="38">
        <v>0.5</v>
      </c>
      <c r="G5" s="53" t="s">
        <v>76</v>
      </c>
      <c r="H5" s="218"/>
      <c r="J5" s="40">
        <v>1.5</v>
      </c>
      <c r="L5" s="34"/>
      <c r="M5" s="55"/>
      <c r="N5" s="41">
        <v>1.5</v>
      </c>
      <c r="O5" s="52" t="e">
        <f>#VALUE!</f>
        <v>#VALUE!</v>
      </c>
    </row>
    <row r="6" spans="1:15" ht="18.75" customHeight="1" thickBot="1" x14ac:dyDescent="0.3">
      <c r="A6" s="220"/>
      <c r="B6" s="35" t="s">
        <v>9</v>
      </c>
      <c r="C6" s="36">
        <v>0.2</v>
      </c>
      <c r="D6" s="37" t="s">
        <v>10</v>
      </c>
      <c r="E6" s="38">
        <v>0.75</v>
      </c>
      <c r="G6" s="207"/>
      <c r="H6" s="217"/>
      <c r="J6" s="44">
        <v>2</v>
      </c>
      <c r="L6" s="34"/>
      <c r="M6" s="60"/>
      <c r="N6" s="45">
        <v>2</v>
      </c>
      <c r="O6" s="61" t="e">
        <f>#VALUE!</f>
        <v>#VALUE!</v>
      </c>
    </row>
    <row r="7" spans="1:15" ht="18.75" customHeight="1" x14ac:dyDescent="0.25">
      <c r="A7" s="220"/>
      <c r="B7" s="35" t="s">
        <v>11</v>
      </c>
      <c r="C7" s="36">
        <v>0.33</v>
      </c>
      <c r="D7" s="47" t="s">
        <v>9</v>
      </c>
      <c r="E7" s="38">
        <v>0.5</v>
      </c>
      <c r="G7" s="207"/>
      <c r="H7" s="207"/>
      <c r="I7" s="207"/>
      <c r="L7" s="34"/>
      <c r="M7" s="54" t="s">
        <v>168</v>
      </c>
      <c r="N7" s="49">
        <v>1</v>
      </c>
      <c r="O7" s="50" t="str">
        <f>(IF('Colonnes montantes'!F18=0,"",(IF(AND(0&lt;'Colonnes montantes'!J18,'Colonnes montantes'!J18&lt;=1.31),"40,8 - 50",IF(AND(1.31&lt;'Colonnes montantes'!J18,'Colonnes montantes'!J18&lt;=2.96),"61,4 - 75",IF(AND(2.96&lt;'Colonnes montantes'!J18,'Colonnes montantes'!J18&lt;=10.32),"114,6 - 140",IF(AND(10.32&lt;'Colonnes montantes'!J18,'Colonnes montantes'!J18&lt;=17.02),"147,2 - 180","&lt; 147,2 - 180 !")))))))</f>
        <v/>
      </c>
    </row>
    <row r="8" spans="1:15" ht="18.75" customHeight="1" x14ac:dyDescent="0.25">
      <c r="A8" s="220"/>
      <c r="B8" s="35" t="s">
        <v>8</v>
      </c>
      <c r="C8" s="36">
        <v>0.2</v>
      </c>
      <c r="D8" s="47" t="s">
        <v>12</v>
      </c>
      <c r="E8" s="38">
        <v>0.5</v>
      </c>
      <c r="G8" s="207"/>
      <c r="H8" s="207"/>
      <c r="I8" s="207"/>
      <c r="L8" s="34"/>
      <c r="M8" s="55"/>
      <c r="N8" s="41">
        <v>1.2</v>
      </c>
      <c r="O8" s="42" t="str">
        <f>(IF('Colonnes montantes'!F18=0,"",(IF(AND(0&lt;'Colonnes montantes'!J18,'Colonnes montantes'!J18&lt;=1.57),"40,8 - 50",IF(AND(1.57&lt;'Colonnes montantes'!J18,'Colonnes montantes'!J18&lt;=3.55),"61,4 - 75",IF(AND(3.55&lt;'Colonnes montantes'!J18,'Colonnes montantes'!J18&lt;=12.38),"114,6 - 140",IF(AND(12.38&lt;'Colonnes montantes'!J18,'Colonnes montantes'!J18&lt;=20.42),"147,2 - 180","&lt; 147,2 - 180 !")))))))</f>
        <v/>
      </c>
    </row>
    <row r="9" spans="1:15" ht="18.75" customHeight="1" x14ac:dyDescent="0.25">
      <c r="A9" s="220"/>
      <c r="B9" s="35" t="s">
        <v>13</v>
      </c>
      <c r="C9" s="36">
        <v>0.33</v>
      </c>
      <c r="D9" s="47" t="s">
        <v>14</v>
      </c>
      <c r="E9" s="38">
        <v>0.5</v>
      </c>
      <c r="G9" s="207"/>
      <c r="H9" s="207"/>
      <c r="I9" s="207"/>
      <c r="L9" s="34"/>
      <c r="M9" s="55"/>
      <c r="N9" s="41">
        <v>1.5</v>
      </c>
      <c r="O9" s="42" t="str">
        <f>(IF('Colonnes montantes'!F18=0,"",(IF(AND(0&lt;'Colonnes montantes'!J18,'Colonnes montantes'!J18&lt;=1.96),"40,8 - 50",IF(AND(1.96&lt;'Colonnes montantes'!J18,'Colonnes montantes'!J18&lt;=4.44),"61,4 - 75",IF(AND(4.44&lt;'Colonnes montantes'!J18,'Colonnes montantes'!J18&lt;=15.47),"114,6 - 140",IF(AND(15.47&lt;'Colonnes montantes'!J18,'Colonnes montantes'!J18&lt;=25.53),"147,2 - 180","&lt; 147,2 - 180 !")))))))</f>
        <v/>
      </c>
    </row>
    <row r="10" spans="1:15" ht="18.75" customHeight="1" x14ac:dyDescent="0.25">
      <c r="A10" s="220"/>
      <c r="B10" s="35" t="s">
        <v>15</v>
      </c>
      <c r="C10" s="36">
        <v>0.42</v>
      </c>
      <c r="D10" s="37" t="s">
        <v>16</v>
      </c>
      <c r="E10" s="38">
        <v>0.75</v>
      </c>
      <c r="G10" s="207"/>
      <c r="H10" s="207"/>
      <c r="I10" s="207"/>
      <c r="L10" s="34"/>
      <c r="M10" s="60"/>
      <c r="N10" s="45">
        <v>2</v>
      </c>
      <c r="O10" s="46" t="str">
        <f>(IF('Colonnes montantes'!F18=0,"",(IF(AND(0&lt;'Colonnes montantes'!J18,'Colonnes montantes'!J18&lt;=2.62),"40,8 - 50",IF(AND(2.62&lt;'Colonnes montantes'!J18,'Colonnes montantes'!J18&lt;=5.92),"61,4 - 75",IF(AND(5.92&lt;'Colonnes montantes'!J18,'Colonnes montantes'!J18&lt;=20.63),"114,6 - 140",IF(AND(20.63&lt;'Colonnes montantes'!J18,'Colonnes montantes'!J18&lt;=34.04),"147,2 - 180","&lt; 147,2 - 180 !")))))))</f>
        <v/>
      </c>
    </row>
    <row r="11" spans="1:15" ht="18.75" customHeight="1" x14ac:dyDescent="0.25">
      <c r="A11" s="220"/>
      <c r="B11" s="35" t="s">
        <v>17</v>
      </c>
      <c r="C11" s="36">
        <v>0.12</v>
      </c>
      <c r="D11" s="37" t="s">
        <v>18</v>
      </c>
      <c r="E11" s="38">
        <v>0.75</v>
      </c>
      <c r="G11" s="207"/>
      <c r="H11" s="207"/>
      <c r="I11" s="207"/>
      <c r="L11" s="34"/>
      <c r="M11" s="54" t="s">
        <v>77</v>
      </c>
      <c r="N11" s="49">
        <v>1</v>
      </c>
      <c r="O11" s="50" t="str">
        <f>(IF('Colonnes montantes'!F18=0,"",(IF(AND(0&lt;'Colonnes montantes'!J18,'Colonnes montantes'!J18&lt;=28.54),"190,6 - 200",IF(AND(28.54&lt;'Colonnes montantes'!J18,'Colonnes montantes'!J18&lt;=44.57),"238,2 - 250",IF(AND(44.57&lt;'Colonnes montantes'!J18,'Colonnes montantes'!J18&lt;=70.79),"300,2 - 315",IF(AND(70.79&lt;'Colonnes montantes'!J18,'Colonnes montantes'!J18&lt;=114.14),"381,2 - 400","&lt; 381,2 - 400 !")))))))</f>
        <v/>
      </c>
    </row>
    <row r="12" spans="1:15" ht="18.75" customHeight="1" x14ac:dyDescent="0.25">
      <c r="A12" s="220"/>
      <c r="B12" s="35" t="s">
        <v>19</v>
      </c>
      <c r="C12" s="36">
        <v>1.5</v>
      </c>
      <c r="D12" s="37" t="s">
        <v>20</v>
      </c>
      <c r="E12" s="38">
        <v>0.5</v>
      </c>
      <c r="G12" s="207"/>
      <c r="H12" s="207"/>
      <c r="I12" s="207"/>
      <c r="L12" s="34"/>
      <c r="M12" s="55"/>
      <c r="N12" s="41">
        <v>1.2</v>
      </c>
      <c r="O12" s="42" t="str">
        <f>(IF('Colonnes montantes'!F18=0,"",(IF(AND(0&lt;'Colonnes montantes'!J18,'Colonnes montantes'!J18&lt;=34.24),"190,6 - 200",IF(AND(34.24&lt;'Colonnes montantes'!J18,'Colonnes montantes'!J18&lt;=53.48),"238,2 - 250",IF(AND(53.48&lt;'Colonnes montantes'!J18,'Colonnes montantes'!J18&lt;=84.95),"300,2 - 315",IF(AND(84.95&lt;'Colonnes montantes'!J18,'Colonnes montantes'!J18&lt;=136.97),"381,2 - 400","&lt; 381,2 - 400 !")))))))</f>
        <v/>
      </c>
    </row>
    <row r="13" spans="1:15" ht="18.75" customHeight="1" x14ac:dyDescent="0.25">
      <c r="A13" s="220"/>
      <c r="B13" s="35" t="s">
        <v>21</v>
      </c>
      <c r="C13" s="36">
        <v>0.15</v>
      </c>
      <c r="D13" s="37" t="s">
        <v>22</v>
      </c>
      <c r="E13" s="38">
        <v>1</v>
      </c>
      <c r="G13" s="207"/>
      <c r="H13" s="207"/>
      <c r="I13" s="207"/>
      <c r="L13" s="34"/>
      <c r="M13" s="55"/>
      <c r="N13" s="41">
        <v>1.5</v>
      </c>
      <c r="O13" s="42" t="str">
        <f>(IF('Colonnes montantes'!F18=0,"",(IF(AND(0&lt;'Colonnes montantes'!J18,'Colonnes montantes'!J18&lt;=42.8),"190,6 - 200",IF(AND(42.8&lt;'Colonnes montantes'!J18,'Colonnes montantes'!J18&lt;=66.85),"238,2 - 250",IF(AND(66.85&lt;'Colonnes montantes'!J18,'Colonnes montantes'!J18&lt;=106.18),"300,2 - 315",IF(AND(106.18&lt;'Colonnes montantes'!J18,'Colonnes montantes'!J18&lt;=171.21),"381,2 - 400","&lt; 381,2 - 400 !")))))))</f>
        <v/>
      </c>
    </row>
    <row r="14" spans="1:15" ht="18.75" customHeight="1" thickBot="1" x14ac:dyDescent="0.3">
      <c r="A14" s="220"/>
      <c r="B14" s="35" t="s">
        <v>22</v>
      </c>
      <c r="C14" s="36">
        <v>0.5</v>
      </c>
      <c r="D14" s="37" t="s">
        <v>23</v>
      </c>
      <c r="E14" s="38">
        <v>1.5</v>
      </c>
      <c r="L14" s="34"/>
      <c r="M14" s="55"/>
      <c r="N14" s="211">
        <v>2</v>
      </c>
      <c r="O14" s="212" t="str">
        <f>(IF('Colonnes montantes'!F18=0,"",(IF(AND(0&lt;'Colonnes montantes'!J18,'Colonnes montantes'!J18&lt;=57.07),"190,6 - 200",IF(AND(57.07&lt;'Colonnes montantes'!J18,'Colonnes montantes'!J18&lt;=89.14),"238,2 - 250",IF(AND(89.14&lt;'Colonnes montantes'!J18,'Colonnes montantes'!J18&lt;=141.58),"300,2 - 315",IF(AND(141.58&lt;'Colonnes montantes'!J18,'Colonnes montantes'!J18&lt;=228.28),"381,2 - 400","&lt; 381,2 - 400 !")))))))</f>
        <v/>
      </c>
    </row>
    <row r="15" spans="1:15" ht="18.75" customHeight="1" x14ac:dyDescent="0.25">
      <c r="A15" s="220"/>
      <c r="B15" s="35" t="s">
        <v>14</v>
      </c>
      <c r="C15" s="36">
        <v>0.1</v>
      </c>
      <c r="D15" s="37" t="s">
        <v>24</v>
      </c>
      <c r="E15" s="38">
        <v>1.5</v>
      </c>
      <c r="L15" s="213" t="s">
        <v>46</v>
      </c>
      <c r="M15" s="214" t="s">
        <v>78</v>
      </c>
      <c r="N15" s="215" t="s">
        <v>79</v>
      </c>
      <c r="O15" s="216" t="e">
        <f>#VALUE!</f>
        <v>#VALUE!</v>
      </c>
    </row>
    <row r="16" spans="1:15" ht="18.75" customHeight="1" thickBot="1" x14ac:dyDescent="0.3">
      <c r="A16" s="220"/>
      <c r="B16" s="35" t="s">
        <v>18</v>
      </c>
      <c r="C16" s="36">
        <v>0.33</v>
      </c>
      <c r="D16" s="37" t="s">
        <v>25</v>
      </c>
      <c r="E16" s="38">
        <v>0.65</v>
      </c>
      <c r="L16" s="62"/>
      <c r="M16" s="208" t="s">
        <v>80</v>
      </c>
      <c r="N16" s="209" t="s">
        <v>79</v>
      </c>
      <c r="O16" s="210" t="e">
        <f>#VALUE!</f>
        <v>#VALUE!</v>
      </c>
    </row>
    <row r="17" spans="1:16" ht="18.75" customHeight="1" x14ac:dyDescent="0.25">
      <c r="A17" s="220"/>
      <c r="B17" s="35" t="s">
        <v>25</v>
      </c>
      <c r="C17" s="36">
        <v>0.2</v>
      </c>
      <c r="D17" s="57" t="s">
        <v>26</v>
      </c>
      <c r="E17" s="38">
        <v>0.4</v>
      </c>
      <c r="L17" s="63"/>
      <c r="M17" s="63"/>
      <c r="N17" s="205"/>
      <c r="O17" s="206"/>
    </row>
    <row r="18" spans="1:16" ht="18.75" customHeight="1" thickBot="1" x14ac:dyDescent="0.3">
      <c r="A18" s="221"/>
      <c r="B18" s="58" t="s">
        <v>26</v>
      </c>
      <c r="C18" s="59">
        <v>0.1</v>
      </c>
      <c r="D18" s="222"/>
      <c r="E18" s="223"/>
      <c r="L18" s="63"/>
      <c r="M18" s="63"/>
      <c r="N18" s="205"/>
      <c r="O18" s="206"/>
      <c r="P18" s="207"/>
    </row>
    <row r="19" spans="1:16" ht="18.75" customHeight="1" x14ac:dyDescent="0.25">
      <c r="L19" s="63"/>
      <c r="M19" s="63"/>
      <c r="N19" s="205"/>
      <c r="O19" s="206"/>
      <c r="P19" s="207"/>
    </row>
    <row r="20" spans="1:16" ht="18.75" customHeight="1" thickBot="1" x14ac:dyDescent="0.3">
      <c r="L20" s="63"/>
      <c r="M20" s="63"/>
      <c r="N20" s="205"/>
      <c r="O20" s="206"/>
      <c r="P20" s="207"/>
    </row>
    <row r="21" spans="1:16" ht="18.75" customHeight="1" thickBot="1" x14ac:dyDescent="0.3">
      <c r="D21" s="237"/>
      <c r="E21" s="13"/>
      <c r="F21" s="327" t="s">
        <v>30</v>
      </c>
      <c r="G21" s="328"/>
      <c r="H21" s="14"/>
      <c r="I21" s="13"/>
      <c r="J21" s="15" t="s">
        <v>30</v>
      </c>
      <c r="L21" s="63"/>
      <c r="M21" s="63"/>
      <c r="N21" s="205"/>
      <c r="O21" s="206"/>
      <c r="P21" s="207"/>
    </row>
    <row r="22" spans="1:16" ht="30" x14ac:dyDescent="0.25">
      <c r="D22" s="112" t="s">
        <v>53</v>
      </c>
      <c r="E22" s="113" t="s">
        <v>0</v>
      </c>
      <c r="F22" s="114" t="s">
        <v>1</v>
      </c>
      <c r="G22" s="114" t="s">
        <v>29</v>
      </c>
      <c r="H22" s="114" t="s">
        <v>44</v>
      </c>
      <c r="I22" s="113" t="s">
        <v>2</v>
      </c>
      <c r="J22" s="115" t="s">
        <v>1</v>
      </c>
      <c r="L22" s="63"/>
      <c r="M22" s="63"/>
      <c r="N22" s="205"/>
      <c r="O22" s="206"/>
      <c r="P22" s="207"/>
    </row>
    <row r="23" spans="1:16" x14ac:dyDescent="0.25">
      <c r="D23" s="116" t="s">
        <v>55</v>
      </c>
      <c r="E23" s="108" t="s">
        <v>3</v>
      </c>
      <c r="F23" s="109">
        <v>0.2</v>
      </c>
      <c r="G23" s="109">
        <v>0.2</v>
      </c>
      <c r="H23" s="110">
        <v>12</v>
      </c>
      <c r="I23" s="108" t="s">
        <v>4</v>
      </c>
      <c r="J23" s="117">
        <v>1.2</v>
      </c>
      <c r="L23" s="63"/>
      <c r="M23" s="63"/>
      <c r="N23" s="205"/>
      <c r="O23" s="206"/>
      <c r="P23" s="207"/>
    </row>
    <row r="24" spans="1:16" ht="18.75" customHeight="1" x14ac:dyDescent="0.25">
      <c r="D24" s="116" t="s">
        <v>56</v>
      </c>
      <c r="E24" s="108" t="s">
        <v>5</v>
      </c>
      <c r="F24" s="109">
        <v>0.2</v>
      </c>
      <c r="G24" s="109">
        <v>0.2</v>
      </c>
      <c r="H24" s="110">
        <v>10</v>
      </c>
      <c r="I24" s="108" t="s">
        <v>6</v>
      </c>
      <c r="J24" s="117">
        <v>1.2</v>
      </c>
      <c r="L24" s="63"/>
      <c r="M24" s="63"/>
      <c r="N24" s="205"/>
      <c r="O24" s="206"/>
      <c r="P24" s="207"/>
    </row>
    <row r="25" spans="1:16" ht="18.75" customHeight="1" x14ac:dyDescent="0.25">
      <c r="D25" s="116"/>
      <c r="E25" s="108" t="s">
        <v>7</v>
      </c>
      <c r="F25" s="109">
        <v>0.05</v>
      </c>
      <c r="G25" s="109">
        <v>0.05</v>
      </c>
      <c r="H25" s="110" t="s">
        <v>42</v>
      </c>
      <c r="I25" s="108" t="s">
        <v>8</v>
      </c>
      <c r="J25" s="117">
        <v>0.5</v>
      </c>
      <c r="L25" s="63"/>
      <c r="M25" s="63"/>
      <c r="N25" s="205"/>
      <c r="O25" s="206"/>
      <c r="P25" s="207"/>
    </row>
    <row r="26" spans="1:16" ht="18.75" customHeight="1" x14ac:dyDescent="0.25">
      <c r="D26" s="116"/>
      <c r="E26" s="108" t="s">
        <v>9</v>
      </c>
      <c r="F26" s="109">
        <v>0.2</v>
      </c>
      <c r="G26" s="109">
        <v>0.2</v>
      </c>
      <c r="H26" s="110">
        <v>10</v>
      </c>
      <c r="I26" s="108" t="s">
        <v>10</v>
      </c>
      <c r="J26" s="117">
        <v>0.75</v>
      </c>
      <c r="L26" s="63"/>
      <c r="M26" s="63"/>
      <c r="N26" s="205"/>
      <c r="O26" s="206"/>
      <c r="P26" s="207"/>
    </row>
    <row r="27" spans="1:16" ht="18.75" customHeight="1" x14ac:dyDescent="0.25">
      <c r="D27" s="116"/>
      <c r="E27" s="108" t="s">
        <v>11</v>
      </c>
      <c r="F27" s="109">
        <v>0.33</v>
      </c>
      <c r="G27" s="109">
        <v>0.33</v>
      </c>
      <c r="H27" s="110">
        <v>13</v>
      </c>
      <c r="I27" s="111" t="s">
        <v>9</v>
      </c>
      <c r="J27" s="117">
        <v>0.5</v>
      </c>
      <c r="L27" s="63"/>
      <c r="M27" s="63"/>
      <c r="N27" s="205"/>
      <c r="O27" s="206"/>
      <c r="P27" s="207"/>
    </row>
    <row r="28" spans="1:16" ht="18.75" customHeight="1" x14ac:dyDescent="0.25">
      <c r="D28" s="116"/>
      <c r="E28" s="108" t="s">
        <v>8</v>
      </c>
      <c r="F28" s="109">
        <v>0.2</v>
      </c>
      <c r="G28" s="109">
        <v>0.2</v>
      </c>
      <c r="H28" s="110">
        <v>12</v>
      </c>
      <c r="I28" s="111" t="s">
        <v>12</v>
      </c>
      <c r="J28" s="117">
        <v>0.5</v>
      </c>
      <c r="L28" s="63"/>
      <c r="M28" s="63"/>
      <c r="N28" s="205"/>
      <c r="O28" s="206"/>
      <c r="P28" s="207"/>
    </row>
    <row r="29" spans="1:16" ht="18.75" customHeight="1" x14ac:dyDescent="0.25">
      <c r="D29" s="116"/>
      <c r="E29" s="108" t="s">
        <v>13</v>
      </c>
      <c r="F29" s="109">
        <v>0.33</v>
      </c>
      <c r="G29" s="109"/>
      <c r="H29" s="110">
        <v>12</v>
      </c>
      <c r="I29" s="111" t="s">
        <v>14</v>
      </c>
      <c r="J29" s="117">
        <v>0.5</v>
      </c>
      <c r="L29" s="63"/>
      <c r="M29" s="63"/>
      <c r="N29" s="205"/>
      <c r="O29" s="206"/>
      <c r="P29" s="207"/>
    </row>
    <row r="30" spans="1:16" ht="18.75" customHeight="1" x14ac:dyDescent="0.25">
      <c r="D30" s="116"/>
      <c r="E30" s="108" t="s">
        <v>15</v>
      </c>
      <c r="F30" s="109">
        <v>0.42</v>
      </c>
      <c r="G30" s="109"/>
      <c r="H30" s="110">
        <v>13</v>
      </c>
      <c r="I30" s="108" t="s">
        <v>16</v>
      </c>
      <c r="J30" s="117">
        <v>0.75</v>
      </c>
      <c r="L30" s="63"/>
      <c r="M30" s="63"/>
      <c r="N30" s="205"/>
      <c r="O30" s="206"/>
      <c r="P30" s="207"/>
    </row>
    <row r="31" spans="1:16" ht="18.75" customHeight="1" x14ac:dyDescent="0.25">
      <c r="D31" s="116"/>
      <c r="E31" s="108" t="s">
        <v>17</v>
      </c>
      <c r="F31" s="109">
        <v>0.12</v>
      </c>
      <c r="G31" s="109"/>
      <c r="H31" s="110">
        <v>10</v>
      </c>
      <c r="I31" s="108" t="s">
        <v>18</v>
      </c>
      <c r="J31" s="117">
        <v>0.75</v>
      </c>
      <c r="L31" s="63"/>
      <c r="M31" s="63"/>
      <c r="N31" s="205"/>
      <c r="O31" s="206"/>
      <c r="P31" s="207"/>
    </row>
    <row r="32" spans="1:16" ht="18.75" customHeight="1" x14ac:dyDescent="0.25">
      <c r="D32" s="116"/>
      <c r="E32" s="108" t="s">
        <v>19</v>
      </c>
      <c r="F32" s="109">
        <v>1.5</v>
      </c>
      <c r="G32" s="109"/>
      <c r="H32" s="110" t="s">
        <v>43</v>
      </c>
      <c r="I32" s="108" t="s">
        <v>20</v>
      </c>
      <c r="J32" s="117">
        <v>0.5</v>
      </c>
      <c r="L32" s="63"/>
      <c r="M32" s="63"/>
      <c r="N32" s="205"/>
      <c r="O32" s="206"/>
      <c r="P32" s="207"/>
    </row>
    <row r="33" spans="4:16" ht="18.75" customHeight="1" x14ac:dyDescent="0.25">
      <c r="D33" s="116"/>
      <c r="E33" s="108" t="s">
        <v>21</v>
      </c>
      <c r="F33" s="109">
        <v>0.15</v>
      </c>
      <c r="G33" s="109"/>
      <c r="H33" s="110">
        <v>10</v>
      </c>
      <c r="I33" s="108" t="s">
        <v>22</v>
      </c>
      <c r="J33" s="117">
        <v>1</v>
      </c>
      <c r="L33" s="63"/>
      <c r="M33" s="63"/>
      <c r="N33" s="205"/>
      <c r="O33" s="206"/>
      <c r="P33" s="207"/>
    </row>
    <row r="34" spans="4:16" ht="18.75" customHeight="1" x14ac:dyDescent="0.25">
      <c r="D34" s="116"/>
      <c r="E34" s="108" t="s">
        <v>22</v>
      </c>
      <c r="F34" s="109">
        <v>0.5</v>
      </c>
      <c r="G34" s="109"/>
      <c r="H34" s="110" t="s">
        <v>43</v>
      </c>
      <c r="I34" s="108" t="s">
        <v>23</v>
      </c>
      <c r="J34" s="117">
        <v>1.5</v>
      </c>
      <c r="L34" s="63"/>
      <c r="M34" s="63"/>
      <c r="N34" s="205"/>
      <c r="O34" s="206"/>
      <c r="P34" s="207"/>
    </row>
    <row r="35" spans="4:16" ht="18.75" customHeight="1" x14ac:dyDescent="0.25">
      <c r="D35" s="116"/>
      <c r="E35" s="108" t="s">
        <v>14</v>
      </c>
      <c r="F35" s="109">
        <v>0.1</v>
      </c>
      <c r="G35" s="109"/>
      <c r="H35" s="110">
        <v>10</v>
      </c>
      <c r="I35" s="108" t="s">
        <v>24</v>
      </c>
      <c r="J35" s="117">
        <v>1.5</v>
      </c>
      <c r="L35" s="63"/>
      <c r="M35" s="207"/>
      <c r="N35" s="207"/>
      <c r="O35" s="207"/>
      <c r="P35" s="207"/>
    </row>
    <row r="36" spans="4:16" ht="18.75" customHeight="1" x14ac:dyDescent="0.25">
      <c r="D36" s="116"/>
      <c r="E36" s="108" t="s">
        <v>18</v>
      </c>
      <c r="F36" s="109">
        <v>0.33</v>
      </c>
      <c r="G36" s="109"/>
      <c r="H36" s="110">
        <v>13</v>
      </c>
      <c r="I36" s="108" t="s">
        <v>25</v>
      </c>
      <c r="J36" s="117">
        <v>0.65</v>
      </c>
      <c r="L36" s="63"/>
      <c r="M36" s="207"/>
      <c r="N36" s="207"/>
      <c r="O36" s="207"/>
      <c r="P36" s="207"/>
    </row>
    <row r="37" spans="4:16" ht="18.75" customHeight="1" x14ac:dyDescent="0.25">
      <c r="D37" s="116"/>
      <c r="E37" s="108" t="s">
        <v>27</v>
      </c>
      <c r="F37" s="109">
        <v>0.2</v>
      </c>
      <c r="G37" s="109"/>
      <c r="H37" s="110">
        <v>10</v>
      </c>
      <c r="I37" s="108" t="s">
        <v>26</v>
      </c>
      <c r="J37" s="117">
        <v>0.4</v>
      </c>
      <c r="L37" s="63"/>
      <c r="M37" s="207"/>
      <c r="N37" s="207"/>
      <c r="O37" s="207"/>
      <c r="P37" s="207"/>
    </row>
    <row r="38" spans="4:16" ht="18.75" customHeight="1" thickBot="1" x14ac:dyDescent="0.3">
      <c r="D38" s="118"/>
      <c r="E38" s="119" t="s">
        <v>28</v>
      </c>
      <c r="F38" s="120">
        <v>0.1</v>
      </c>
      <c r="G38" s="120"/>
      <c r="H38" s="121">
        <v>10</v>
      </c>
      <c r="I38" s="122"/>
      <c r="J38" s="123"/>
      <c r="L38" s="63"/>
      <c r="M38" s="207"/>
      <c r="N38" s="207"/>
      <c r="O38" s="207"/>
      <c r="P38" s="207"/>
    </row>
    <row r="39" spans="4:16" ht="18.75" customHeight="1" x14ac:dyDescent="0.25">
      <c r="F39" s="17"/>
      <c r="P39" s="207"/>
    </row>
    <row r="40" spans="4:16" ht="18.75" customHeight="1" x14ac:dyDescent="0.25"/>
    <row r="41" spans="4:16" ht="18.75" customHeight="1" x14ac:dyDescent="0.25"/>
    <row r="42" spans="4:16" ht="18.75" customHeight="1" x14ac:dyDescent="0.25"/>
    <row r="43" spans="4:16" ht="18.75" customHeight="1" x14ac:dyDescent="0.25"/>
    <row r="44" spans="4:16" ht="18.75" customHeight="1" x14ac:dyDescent="0.25"/>
    <row r="45" spans="4:16" ht="18.75" customHeight="1" x14ac:dyDescent="0.25"/>
    <row r="46" spans="4:16" ht="18.75" customHeight="1" x14ac:dyDescent="0.25"/>
    <row r="47" spans="4:16" ht="18.75" customHeight="1" x14ac:dyDescent="0.25"/>
    <row r="48" spans="4:16" ht="18.75" customHeight="1" x14ac:dyDescent="0.25"/>
    <row r="49" spans="12:15" ht="18.75" customHeight="1" x14ac:dyDescent="0.25"/>
    <row r="50" spans="12:15" ht="18.75" customHeight="1" x14ac:dyDescent="0.25"/>
    <row r="51" spans="12:15" ht="18.75" customHeight="1" x14ac:dyDescent="0.25"/>
    <row r="52" spans="12:15" ht="18.75" customHeight="1" x14ac:dyDescent="0.25"/>
    <row r="53" spans="12:15" ht="18.75" customHeight="1" x14ac:dyDescent="0.25"/>
    <row r="54" spans="12:15" x14ac:dyDescent="0.25">
      <c r="L54" s="1"/>
      <c r="M54" s="1"/>
      <c r="N54" s="1"/>
      <c r="O54" s="1"/>
    </row>
  </sheetData>
  <mergeCells count="4">
    <mergeCell ref="G1:H1"/>
    <mergeCell ref="A1:E1"/>
    <mergeCell ref="F21:G21"/>
    <mergeCell ref="L1:O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6</vt:i4>
      </vt:variant>
    </vt:vector>
  </HeadingPairs>
  <TitlesOfParts>
    <vt:vector size="10" baseType="lpstr">
      <vt:lpstr>Colonnes montantes</vt:lpstr>
      <vt:lpstr>Branches Terminales</vt:lpstr>
      <vt:lpstr>Plomberie</vt:lpstr>
      <vt:lpstr>Données</vt:lpstr>
      <vt:lpstr>AlimentationsAppareils</vt:lpstr>
      <vt:lpstr>AlimentationsMatières</vt:lpstr>
      <vt:lpstr>EvacuationsAppareils</vt:lpstr>
      <vt:lpstr>EvacuationsMatières</vt:lpstr>
      <vt:lpstr>Type</vt:lpstr>
      <vt:lpstr>Vitesses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Calcul perte de charge sur les réseaux hydrauliques</dc:subject>
  <dc:creator>Abdelkrim Barghachi</dc:creator>
  <cp:keywords>Plomberie</cp:keywords>
  <dc:description>Programme de calcul sur excel. Il permet de dimensionner et d'effectuer le calcul des pertes de charge sur les réseaux hydrauliques.</dc:description>
  <cp:lastModifiedBy>Abdelkrim.B</cp:lastModifiedBy>
  <dcterms:created xsi:type="dcterms:W3CDTF">2013-03-20T17:38:37Z</dcterms:created>
  <dcterms:modified xsi:type="dcterms:W3CDTF">2013-05-05T11:57:16Z</dcterms:modified>
  <cp:category>Excel, programmation VBA</cp:category>
</cp:coreProperties>
</file>