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8340"/>
  </bookViews>
  <sheets>
    <sheet name="Feuil1" sheetId="1" r:id="rId1"/>
    <sheet name="Feuil2" sheetId="2" r:id="rId2"/>
  </sheets>
  <externalReferences>
    <externalReference r:id="rId3"/>
    <externalReference r:id="rId4"/>
  </externalReferences>
  <definedNames>
    <definedName name="mois">Feuil1!$H$25:$H$36</definedName>
    <definedName name="MoisG">OFFSET(Feuil1!$A$1,,MoisGG-1,,5)</definedName>
    <definedName name="MoisGG">MATCH(Feuil2!$H$3,Feuil1!$1:$1,0)</definedName>
    <definedName name="Objectif">Feuil1!$B$5</definedName>
    <definedName name="ssarNOK">OFFSET(MoisG,3,)</definedName>
    <definedName name="SSAROK">OFFSET(MoisG,2,)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9" i="2" l="1"/>
  <c r="AG4" i="1"/>
  <c r="AG3" i="1"/>
  <c r="W3" i="1"/>
  <c r="V15" i="1"/>
  <c r="R15" i="1"/>
  <c r="N15" i="1"/>
  <c r="J15" i="1"/>
  <c r="F15" i="1"/>
  <c r="B15" i="1"/>
  <c r="S14" i="1"/>
  <c r="O14" i="1"/>
  <c r="K14" i="1"/>
  <c r="G14" i="1"/>
  <c r="C14" i="1"/>
  <c r="T13" i="1"/>
  <c r="P13" i="1"/>
  <c r="L13" i="1"/>
  <c r="H13" i="1"/>
  <c r="D13" i="1"/>
  <c r="U12" i="1"/>
  <c r="Q12" i="1"/>
  <c r="M12" i="1"/>
  <c r="I12" i="1"/>
  <c r="E12" i="1"/>
  <c r="V11" i="1"/>
  <c r="R11" i="1"/>
  <c r="N11" i="1"/>
  <c r="J11" i="1"/>
  <c r="F11" i="1"/>
  <c r="B11" i="1"/>
  <c r="S10" i="1"/>
  <c r="O10" i="1"/>
  <c r="K10" i="1"/>
  <c r="G10" i="1"/>
  <c r="C10" i="1"/>
  <c r="U15" i="1"/>
  <c r="Q15" i="1"/>
  <c r="M15" i="1"/>
  <c r="I15" i="1"/>
  <c r="E15" i="1"/>
  <c r="V14" i="1"/>
  <c r="R14" i="1"/>
  <c r="N14" i="1"/>
  <c r="J14" i="1"/>
  <c r="F14" i="1"/>
  <c r="B14" i="1"/>
  <c r="S13" i="1"/>
  <c r="O13" i="1"/>
  <c r="K13" i="1"/>
  <c r="G13" i="1"/>
  <c r="C13" i="1"/>
  <c r="T12" i="1"/>
  <c r="P12" i="1"/>
  <c r="L12" i="1"/>
  <c r="H12" i="1"/>
  <c r="D12" i="1"/>
  <c r="U11" i="1"/>
  <c r="Q11" i="1"/>
  <c r="M11" i="1"/>
  <c r="I11" i="1"/>
  <c r="E11" i="1"/>
  <c r="V10" i="1"/>
  <c r="R10" i="1"/>
  <c r="N10" i="1"/>
  <c r="J10" i="1"/>
  <c r="F10" i="1"/>
  <c r="B10" i="1"/>
  <c r="T15" i="1"/>
  <c r="P15" i="1"/>
  <c r="L15" i="1"/>
  <c r="H15" i="1"/>
  <c r="D15" i="1"/>
  <c r="U14" i="1"/>
  <c r="Q14" i="1"/>
  <c r="M14" i="1"/>
  <c r="I14" i="1"/>
  <c r="E14" i="1"/>
  <c r="V13" i="1"/>
  <c r="R13" i="1"/>
  <c r="N13" i="1"/>
  <c r="J13" i="1"/>
  <c r="F13" i="1"/>
  <c r="B13" i="1"/>
  <c r="S12" i="1"/>
  <c r="O12" i="1"/>
  <c r="K12" i="1"/>
  <c r="G12" i="1"/>
  <c r="C12" i="1"/>
  <c r="T11" i="1"/>
  <c r="P11" i="1"/>
  <c r="L11" i="1"/>
  <c r="H11" i="1"/>
  <c r="D11" i="1"/>
  <c r="U10" i="1"/>
  <c r="Q10" i="1"/>
  <c r="M10" i="1"/>
  <c r="I10" i="1"/>
  <c r="E10" i="1"/>
  <c r="S15" i="1"/>
  <c r="O15" i="1"/>
  <c r="K15" i="1"/>
  <c r="G15" i="1"/>
  <c r="C15" i="1"/>
  <c r="T14" i="1"/>
  <c r="P14" i="1"/>
  <c r="L14" i="1"/>
  <c r="H14" i="1"/>
  <c r="D14" i="1"/>
  <c r="U13" i="1"/>
  <c r="Q13" i="1"/>
  <c r="M13" i="1"/>
  <c r="I13" i="1"/>
  <c r="E13" i="1"/>
  <c r="V12" i="1"/>
  <c r="R12" i="1"/>
  <c r="N12" i="1"/>
  <c r="J12" i="1"/>
  <c r="F12" i="1"/>
  <c r="B12" i="1"/>
  <c r="S11" i="1"/>
  <c r="O11" i="1"/>
  <c r="K11" i="1"/>
  <c r="G11" i="1"/>
  <c r="C11" i="1"/>
  <c r="T10" i="1"/>
  <c r="P10" i="1"/>
  <c r="L10" i="1"/>
  <c r="H10" i="1"/>
  <c r="D10" i="1"/>
  <c r="M4" i="2" l="1"/>
  <c r="AB5" i="1"/>
  <c r="AB4" i="1"/>
  <c r="AB3" i="1"/>
  <c r="W5" i="1"/>
  <c r="W4" i="1"/>
  <c r="Q5" i="1"/>
  <c r="Q4" i="1"/>
  <c r="Q3" i="1"/>
  <c r="A4" i="2" s="1"/>
  <c r="L5" i="1"/>
  <c r="L4" i="1"/>
  <c r="L3" i="1"/>
  <c r="B5" i="1"/>
  <c r="B4" i="1"/>
  <c r="B3" i="1"/>
  <c r="G5" i="1"/>
  <c r="G4" i="1"/>
  <c r="G3" i="1"/>
</calcChain>
</file>

<file path=xl/sharedStrings.xml><?xml version="1.0" encoding="utf-8"?>
<sst xmlns="http://schemas.openxmlformats.org/spreadsheetml/2006/main" count="50" uniqueCount="29">
  <si>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</si>
  <si>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</si>
  <si>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</si>
  <si>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</si>
  <si>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</si>
  <si>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</si>
  <si>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</si>
  <si>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</si>
  <si>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</si>
  <si>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</si>
  <si>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</si>
  <si>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</si>
  <si>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</si>
  <si>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N</t>
  </si>
  <si>
    <t>Total N-1</t>
  </si>
  <si>
    <t>Week</t>
  </si>
  <si>
    <t>Objectif</t>
  </si>
  <si>
    <t>TABLEAU DE BORD SSAR 3J</t>
  </si>
  <si>
    <t xml:space="preserve">SSAR Monthly </t>
  </si>
  <si>
    <t xml:space="preserve">SSAR Weekly </t>
  </si>
  <si>
    <t>ROOT CAUSE Monthly</t>
  </si>
  <si>
    <t>SSAR OK</t>
  </si>
  <si>
    <t>SSAR NO OK</t>
  </si>
  <si>
    <t>Pièces</t>
  </si>
  <si>
    <t>Demande</t>
  </si>
  <si>
    <t>BEMS</t>
  </si>
  <si>
    <t>COP</t>
  </si>
  <si>
    <t>MARTINGALE</t>
  </si>
  <si>
    <t>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</si>
</sst>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6"/>
      <color theme="3" tint="-0.249977111117893"/>
      <name val="Arial"/>
      <family val="2"/>
    </font>
    <font>
      <b/>
      <sz val="16"/>
      <name val="Arial"/>
      <family val="2"/>
    </font>
    <font>
      <sz val="80"/>
      <name val="Arial"/>
      <family val="2"/>
    </font>
    <font>
      <b/>
      <i/>
      <sz val="80"/>
      <name val="Arial Black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0">
    <xf numFmtId="0" fontId="0" fillId="0" borderId="0" xfId="0"/>
    <xf numFmtId="17" fontId="0" fillId="0" borderId="0" xfId="0" applyNumberFormat="1"/>
    <xf numFmtId="9" fontId="0" fillId="0" borderId="0" xfId="0" applyNumberFormat="1"/>
    <xf numFmtId="10" fontId="0" fillId="0" borderId="0" xfId="0" applyNumberFormat="1"/>
    <xf numFmtId="0" fontId="3" fillId="4" borderId="1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9" fontId="5" fillId="2" borderId="4" xfId="1" applyNumberFormat="1" applyFont="1" applyFill="1" applyBorder="1" applyAlignment="1">
      <alignment horizontal="center" vertical="center"/>
    </xf>
    <xf numFmtId="9" fontId="5" fillId="2" borderId="5" xfId="1" applyNumberFormat="1" applyFont="1" applyFill="1" applyBorder="1" applyAlignment="1">
      <alignment horizontal="center" vertical="center"/>
    </xf>
    <xf numFmtId="9" fontId="5" fillId="2" borderId="6" xfId="1" applyNumberFormat="1" applyFont="1" applyFill="1" applyBorder="1" applyAlignment="1">
      <alignment horizontal="center" vertical="center"/>
    </xf>
    <xf numFmtId="9" fontId="5" fillId="2" borderId="7" xfId="1" applyNumberFormat="1" applyFont="1" applyFill="1" applyBorder="1" applyAlignment="1">
      <alignment horizontal="center" vertical="center"/>
    </xf>
    <xf numFmtId="9" fontId="5" fillId="2" borderId="0" xfId="1" applyNumberFormat="1" applyFont="1" applyFill="1" applyBorder="1" applyAlignment="1">
      <alignment horizontal="center" vertical="center"/>
    </xf>
    <xf numFmtId="9" fontId="5" fillId="2" borderId="8" xfId="1" applyNumberFormat="1" applyFont="1" applyFill="1" applyBorder="1" applyAlignment="1">
      <alignment horizontal="center" vertical="center"/>
    </xf>
    <xf numFmtId="9" fontId="5" fillId="2" borderId="9" xfId="1" applyNumberFormat="1" applyFont="1" applyFill="1" applyBorder="1" applyAlignment="1">
      <alignment horizontal="center" vertical="center"/>
    </xf>
    <xf numFmtId="9" fontId="5" fillId="2" borderId="10" xfId="1" applyNumberFormat="1" applyFont="1" applyFill="1" applyBorder="1" applyAlignment="1">
      <alignment horizontal="center" vertical="center"/>
    </xf>
    <xf numFmtId="9" fontId="5" fillId="2" borderId="11" xfId="1" applyNumberFormat="1" applyFont="1" applyFill="1" applyBorder="1" applyAlignment="1">
      <alignment horizontal="center" vertical="center"/>
    </xf>
    <xf numFmtId="9" fontId="4" fillId="3" borderId="4" xfId="1" applyNumberFormat="1" applyFont="1" applyFill="1" applyBorder="1" applyAlignment="1">
      <alignment horizontal="center" vertical="center"/>
    </xf>
    <xf numFmtId="9" fontId="4" fillId="3" borderId="5" xfId="1" applyNumberFormat="1" applyFont="1" applyFill="1" applyBorder="1" applyAlignment="1">
      <alignment horizontal="center" vertical="center"/>
    </xf>
    <xf numFmtId="9" fontId="4" fillId="3" borderId="6" xfId="1" applyNumberFormat="1" applyFont="1" applyFill="1" applyBorder="1" applyAlignment="1">
      <alignment horizontal="center" vertical="center"/>
    </xf>
    <xf numFmtId="9" fontId="4" fillId="3" borderId="7" xfId="1" applyNumberFormat="1" applyFont="1" applyFill="1" applyBorder="1" applyAlignment="1">
      <alignment horizontal="center" vertical="center"/>
    </xf>
    <xf numFmtId="9" fontId="4" fillId="3" borderId="0" xfId="1" applyNumberFormat="1" applyFont="1" applyFill="1" applyBorder="1" applyAlignment="1">
      <alignment horizontal="center" vertical="center"/>
    </xf>
    <xf numFmtId="9" fontId="4" fillId="3" borderId="8" xfId="1" applyNumberFormat="1" applyFont="1" applyFill="1" applyBorder="1" applyAlignment="1">
      <alignment horizontal="center" vertical="center"/>
    </xf>
    <xf numFmtId="9" fontId="4" fillId="3" borderId="9" xfId="1" applyNumberFormat="1" applyFont="1" applyFill="1" applyBorder="1" applyAlignment="1">
      <alignment horizontal="center" vertical="center"/>
    </xf>
    <xf numFmtId="9" fontId="4" fillId="3" borderId="10" xfId="1" applyNumberFormat="1" applyFont="1" applyFill="1" applyBorder="1" applyAlignment="1">
      <alignment horizontal="center" vertical="center"/>
    </xf>
    <xf numFmtId="9" fontId="4" fillId="3" borderId="11" xfId="1" applyNumberFormat="1" applyFont="1" applyFill="1" applyBorder="1" applyAlignment="1">
      <alignment horizontal="center" vertical="center"/>
    </xf>
    <xf numFmtId="9" fontId="4" fillId="4" borderId="4" xfId="1" applyNumberFormat="1" applyFont="1" applyFill="1" applyBorder="1" applyAlignment="1">
      <alignment horizontal="center" vertical="center"/>
    </xf>
    <xf numFmtId="9" fontId="4" fillId="4" borderId="5" xfId="1" applyNumberFormat="1" applyFont="1" applyFill="1" applyBorder="1" applyAlignment="1">
      <alignment horizontal="center" vertical="center"/>
    </xf>
    <xf numFmtId="9" fontId="4" fillId="4" borderId="6" xfId="1" applyNumberFormat="1" applyFont="1" applyFill="1" applyBorder="1" applyAlignment="1">
      <alignment horizontal="center" vertical="center"/>
    </xf>
    <xf numFmtId="9" fontId="4" fillId="4" borderId="7" xfId="1" applyNumberFormat="1" applyFont="1" applyFill="1" applyBorder="1" applyAlignment="1">
      <alignment horizontal="center" vertical="center"/>
    </xf>
    <xf numFmtId="9" fontId="4" fillId="4" borderId="0" xfId="1" applyNumberFormat="1" applyFont="1" applyFill="1" applyBorder="1" applyAlignment="1">
      <alignment horizontal="center" vertical="center"/>
    </xf>
    <xf numFmtId="9" fontId="4" fillId="4" borderId="8" xfId="1" applyNumberFormat="1" applyFont="1" applyFill="1" applyBorder="1" applyAlignment="1">
      <alignment horizontal="center" vertical="center"/>
    </xf>
    <xf numFmtId="9" fontId="4" fillId="4" borderId="9" xfId="1" applyNumberFormat="1" applyFont="1" applyFill="1" applyBorder="1" applyAlignment="1">
      <alignment horizontal="center" vertical="center"/>
    </xf>
    <xf numFmtId="9" fontId="4" fillId="4" borderId="10" xfId="1" applyNumberFormat="1" applyFont="1" applyFill="1" applyBorder="1" applyAlignment="1">
      <alignment horizontal="center" vertical="center"/>
    </xf>
    <xf numFmtId="9" fontId="4" fillId="4" borderId="11" xfId="1" applyNumberFormat="1" applyFont="1" applyFill="1" applyBorder="1" applyAlignment="1">
      <alignment horizontal="center" vertical="center"/>
    </xf>
    <xf numFmtId="9" fontId="5" fillId="4" borderId="4" xfId="1" applyNumberFormat="1" applyFont="1" applyFill="1" applyBorder="1" applyAlignment="1">
      <alignment horizontal="center" vertical="center"/>
    </xf>
    <xf numFmtId="9" fontId="5" fillId="4" borderId="5" xfId="1" applyNumberFormat="1" applyFont="1" applyFill="1" applyBorder="1" applyAlignment="1">
      <alignment horizontal="center" vertical="center"/>
    </xf>
    <xf numFmtId="9" fontId="5" fillId="4" borderId="6" xfId="1" applyNumberFormat="1" applyFont="1" applyFill="1" applyBorder="1" applyAlignment="1">
      <alignment horizontal="center" vertical="center"/>
    </xf>
    <xf numFmtId="9" fontId="5" fillId="4" borderId="7" xfId="1" applyNumberFormat="1" applyFont="1" applyFill="1" applyBorder="1" applyAlignment="1">
      <alignment horizontal="center" vertical="center"/>
    </xf>
    <xf numFmtId="9" fontId="5" fillId="4" borderId="0" xfId="1" applyNumberFormat="1" applyFont="1" applyFill="1" applyBorder="1" applyAlignment="1">
      <alignment horizontal="center" vertical="center"/>
    </xf>
    <xf numFmtId="9" fontId="5" fillId="4" borderId="8" xfId="1" applyNumberFormat="1" applyFont="1" applyFill="1" applyBorder="1" applyAlignment="1">
      <alignment horizontal="center" vertical="center"/>
    </xf>
    <xf numFmtId="9" fontId="5" fillId="4" borderId="9" xfId="1" applyNumberFormat="1" applyFont="1" applyFill="1" applyBorder="1" applyAlignment="1">
      <alignment horizontal="center" vertical="center"/>
    </xf>
    <xf numFmtId="9" fontId="5" fillId="4" borderId="10" xfId="1" applyNumberFormat="1" applyFont="1" applyFill="1" applyBorder="1" applyAlignment="1">
      <alignment horizontal="center" vertical="center"/>
    </xf>
    <xf numFmtId="9" fontId="5" fillId="4" borderId="11" xfId="1" applyNumberFormat="1" applyFont="1" applyFill="1" applyBorder="1" applyAlignment="1">
      <alignment horizontal="center" vertical="center"/>
    </xf>
    <xf numFmtId="0" fontId="1" fillId="0" borderId="0" xfId="2" applyFont="1"/>
    <xf numFmtId="0" fontId="6" fillId="5" borderId="0" xfId="2" applyFont="1" applyFill="1" applyAlignment="1">
      <alignment horizontal="center"/>
    </xf>
    <xf numFmtId="0" fontId="7" fillId="0" borderId="0" xfId="2" applyNumberFormat="1" applyFont="1"/>
    <xf numFmtId="0" fontId="8" fillId="5" borderId="0" xfId="2" applyFont="1" applyFill="1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2" applyNumberFormat="1"/>
    <xf numFmtId="0" fontId="1" fillId="0" borderId="0" xfId="2" applyNumberFormat="1" applyFont="1"/>
    <xf numFmtId="0" fontId="1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779794456694103E-2"/>
          <c:y val="5.5236546174355403E-2"/>
          <c:w val="0.7997536123175456"/>
          <c:h val="0.6801144202947945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Feuil1!$A$3</c:f>
              <c:strCache>
                <c:ptCount val="1"/>
                <c:pt idx="0">
                  <c:v>SSAR OK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trendline>
            <c:name>Moyenne Mobile</c:name>
            <c:spPr>
              <a:ln w="22225" cap="sq"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trendlineType val="movingAvg"/>
            <c:period val="2"/>
            <c:dispRSqr val="0"/>
            <c:dispEq val="0"/>
          </c:trendline>
          <c:trendline>
            <c:name>Tendance</c:name>
            <c:spPr>
              <a:ln w="12700" cap="rnd">
                <a:solidFill>
                  <a:srgbClr val="7030A0"/>
                </a:solidFill>
              </a:ln>
            </c:spPr>
            <c:trendlineType val="movingAvg"/>
            <c:period val="2"/>
            <c:dispRSqr val="0"/>
            <c:dispEq val="0"/>
          </c:trendline>
          <c:cat>
            <c:strRef>
              <c:f>[0]!MoisG</c:f>
              <c:strCache>
                <c:ptCount val="5"/>
                <c:pt idx="0">
                  <c:v>Avril</c:v>
                </c:pt>
                <c:pt idx="1">
                  <c:v>14</c:v>
                </c:pt>
                <c:pt idx="2">
                  <c:v>15</c:v>
                </c:pt>
                <c:pt idx="3">
                  <c:v>16</c:v>
                </c:pt>
                <c:pt idx="4">
                  <c:v>17</c:v>
                </c:pt>
              </c:strCache>
            </c:strRef>
          </c:cat>
          <c:val>
            <c:numRef>
              <c:f>[0]!SSAROK</c:f>
              <c:numCache>
                <c:formatCode>0%</c:formatCode>
                <c:ptCount val="5"/>
                <c:pt idx="0">
                  <c:v>0.87944337993678823</c:v>
                </c:pt>
                <c:pt idx="1">
                  <c:v>0.92252681764004762</c:v>
                </c:pt>
                <c:pt idx="2">
                  <c:v>0.88095238095238093</c:v>
                </c:pt>
                <c:pt idx="3">
                  <c:v>0.84257871064467771</c:v>
                </c:pt>
                <c:pt idx="4">
                  <c:v>0.87171561051004631</c:v>
                </c:pt>
              </c:numCache>
            </c:numRef>
          </c:val>
        </c:ser>
        <c:ser>
          <c:idx val="2"/>
          <c:order val="1"/>
          <c:tx>
            <c:strRef>
              <c:f>Feuil1!$A$4</c:f>
              <c:strCache>
                <c:ptCount val="1"/>
                <c:pt idx="0">
                  <c:v>SSAR NO OK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[0]!MoisG</c:f>
              <c:strCache>
                <c:ptCount val="5"/>
                <c:pt idx="0">
                  <c:v>Avril</c:v>
                </c:pt>
                <c:pt idx="1">
                  <c:v>14</c:v>
                </c:pt>
                <c:pt idx="2">
                  <c:v>15</c:v>
                </c:pt>
                <c:pt idx="3">
                  <c:v>16</c:v>
                </c:pt>
                <c:pt idx="4">
                  <c:v>17</c:v>
                </c:pt>
              </c:strCache>
            </c:strRef>
          </c:cat>
          <c:val>
            <c:numRef>
              <c:f>[0]!ssarNOK</c:f>
              <c:numCache>
                <c:formatCode>0%</c:formatCode>
                <c:ptCount val="5"/>
                <c:pt idx="0">
                  <c:v>0.12055662006321184</c:v>
                </c:pt>
                <c:pt idx="1">
                  <c:v>7.7473182359952319E-2</c:v>
                </c:pt>
                <c:pt idx="2">
                  <c:v>0.11904761904761904</c:v>
                </c:pt>
                <c:pt idx="3">
                  <c:v>0.15742128935532235</c:v>
                </c:pt>
                <c:pt idx="4">
                  <c:v>0.12828438948995363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6531168"/>
        <c:axId val="366463960"/>
      </c:barChart>
      <c:scatterChart>
        <c:scatterStyle val="smoothMarker"/>
        <c:varyColors val="0"/>
        <c:ser>
          <c:idx val="3"/>
          <c:order val="2"/>
          <c:tx>
            <c:strRef>
              <c:f>Feuil1!$A$5</c:f>
              <c:strCache>
                <c:ptCount val="1"/>
                <c:pt idx="0">
                  <c:v>Objectif</c:v>
                </c:pt>
              </c:strCache>
            </c:strRef>
          </c:tx>
          <c:errBars>
            <c:errDir val="x"/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100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25400">
                <a:solidFill>
                  <a:schemeClr val="accent4"/>
                </a:solidFill>
              </a:ln>
            </c:spPr>
          </c:errBars>
          <c:xVal>
            <c:strRef>
              <c:f>[1]DATA!$B$1:$BN$1</c:f>
              <c:strCache>
                <c:ptCount val="65"/>
                <c:pt idx="0">
                  <c:v>Janvier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Février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Mars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Avril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Mai</c:v>
                </c:pt>
                <c:pt idx="22">
                  <c:v>19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Juin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Juillet</c:v>
                </c:pt>
                <c:pt idx="32">
                  <c:v>27</c:v>
                </c:pt>
                <c:pt idx="33">
                  <c:v>28</c:v>
                </c:pt>
                <c:pt idx="34">
                  <c:v>29</c:v>
                </c:pt>
                <c:pt idx="35">
                  <c:v>30</c:v>
                </c:pt>
                <c:pt idx="36">
                  <c:v>31</c:v>
                </c:pt>
                <c:pt idx="37">
                  <c:v>Août</c:v>
                </c:pt>
                <c:pt idx="38">
                  <c:v>32</c:v>
                </c:pt>
                <c:pt idx="39">
                  <c:v>33</c:v>
                </c:pt>
                <c:pt idx="40">
                  <c:v>34</c:v>
                </c:pt>
                <c:pt idx="41">
                  <c:v>35</c:v>
                </c:pt>
                <c:pt idx="42">
                  <c:v>Septembre</c:v>
                </c:pt>
                <c:pt idx="43">
                  <c:v>36</c:v>
                </c:pt>
                <c:pt idx="44">
                  <c:v>37</c:v>
                </c:pt>
                <c:pt idx="45">
                  <c:v>38</c:v>
                </c:pt>
                <c:pt idx="46">
                  <c:v>39</c:v>
                </c:pt>
                <c:pt idx="47">
                  <c:v>Octobre</c:v>
                </c:pt>
                <c:pt idx="48">
                  <c:v>40</c:v>
                </c:pt>
                <c:pt idx="49">
                  <c:v>41</c:v>
                </c:pt>
                <c:pt idx="50">
                  <c:v>42</c:v>
                </c:pt>
                <c:pt idx="51">
                  <c:v>43</c:v>
                </c:pt>
                <c:pt idx="52">
                  <c:v>44</c:v>
                </c:pt>
                <c:pt idx="53">
                  <c:v>Novembre</c:v>
                </c:pt>
                <c:pt idx="54">
                  <c:v>45</c:v>
                </c:pt>
                <c:pt idx="55">
                  <c:v>46</c:v>
                </c:pt>
                <c:pt idx="56">
                  <c:v>47</c:v>
                </c:pt>
                <c:pt idx="57">
                  <c:v>48</c:v>
                </c:pt>
                <c:pt idx="58">
                  <c:v>Décembre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Total N</c:v>
                </c:pt>
                <c:pt idx="64">
                  <c:v>Total N-1</c:v>
                </c:pt>
              </c:strCache>
            </c:strRef>
          </c:xVal>
          <c:yVal>
            <c:numRef>
              <c:f>[0]!Objectif</c:f>
              <c:numCache>
                <c:formatCode>0%</c:formatCode>
                <c:ptCount val="1"/>
                <c:pt idx="0">
                  <c:v>0.99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5017584"/>
        <c:axId val="369795056"/>
      </c:scatterChart>
      <c:catAx>
        <c:axId val="2965311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cap="rnd">
            <a:bevel/>
            <a:headEnd type="oval"/>
          </a:ln>
        </c:spPr>
        <c:txPr>
          <a:bodyPr rot="-1500000" anchor="t" anchorCtr="0"/>
          <a:lstStyle/>
          <a:p>
            <a:pPr>
              <a:defRPr/>
            </a:pPr>
            <a:endParaRPr lang="fr-FR"/>
          </a:p>
        </c:txPr>
        <c:crossAx val="366463960"/>
        <c:crosses val="autoZero"/>
        <c:auto val="1"/>
        <c:lblAlgn val="ctr"/>
        <c:lblOffset val="100"/>
        <c:tickLblSkip val="1"/>
        <c:noMultiLvlLbl val="0"/>
      </c:catAx>
      <c:valAx>
        <c:axId val="366463960"/>
        <c:scaling>
          <c:orientation val="minMax"/>
          <c:max val="1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96531168"/>
        <c:crosses val="autoZero"/>
        <c:crossBetween val="between"/>
      </c:valAx>
      <c:valAx>
        <c:axId val="369795056"/>
        <c:scaling>
          <c:orientation val="minMax"/>
          <c:max val="1"/>
          <c:min val="0"/>
        </c:scaling>
        <c:delete val="1"/>
        <c:axPos val="r"/>
        <c:numFmt formatCode="0%" sourceLinked="1"/>
        <c:majorTickMark val="out"/>
        <c:minorTickMark val="none"/>
        <c:tickLblPos val="nextTo"/>
        <c:crossAx val="445017584"/>
        <c:crosses val="max"/>
        <c:crossBetween val="midCat"/>
      </c:valAx>
      <c:valAx>
        <c:axId val="445017584"/>
        <c:scaling>
          <c:orientation val="minMax"/>
          <c:max val="90"/>
          <c:min val="0"/>
        </c:scaling>
        <c:delete val="0"/>
        <c:axPos val="t"/>
        <c:majorTickMark val="none"/>
        <c:minorTickMark val="none"/>
        <c:tickLblPos val="none"/>
        <c:crossAx val="369795056"/>
        <c:crosses val="max"/>
        <c:crossBetween val="midCat"/>
      </c:valAx>
    </c:plotArea>
    <c:legend>
      <c:legendPos val="b"/>
      <c:legendEntry>
        <c:idx val="3"/>
        <c:delete val="1"/>
      </c:legendEntry>
      <c:layout>
        <c:manualLayout>
          <c:xMode val="edge"/>
          <c:yMode val="edge"/>
          <c:x val="0.8460598986487563"/>
          <c:y val="0.13182864006405978"/>
          <c:w val="0.15194649878971689"/>
          <c:h val="0.55178717914497977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15</xdr:row>
      <xdr:rowOff>47624</xdr:rowOff>
    </xdr:from>
    <xdr:to>
      <xdr:col>4</xdr:col>
      <xdr:colOff>200025</xdr:colOff>
      <xdr:row>20</xdr:row>
      <xdr:rowOff>133349</xdr:rowOff>
    </xdr:to>
    <xdr:sp macro="" textlink="">
      <xdr:nvSpPr>
        <xdr:cNvPr id="2" name="ZoneTexte 1"/>
        <xdr:cNvSpPr txBox="1"/>
      </xdr:nvSpPr>
      <xdr:spPr>
        <a:xfrm>
          <a:off x="504825" y="2905124"/>
          <a:ext cx="2819400" cy="103822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</a:t>
          </a:r>
          <a:r>
            <a:rPr lang="fr-FR" sz="1100" baseline="0"/>
            <a:t> les trois grosses plus causes par mois,  exemple, en janvier, je retiens COP, Martingale et Pièces. Le but étant de les afficher dans la feuille 2, en A20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3</xdr:row>
      <xdr:rowOff>9525</xdr:rowOff>
    </xdr:from>
    <xdr:to>
      <xdr:col>36</xdr:col>
      <xdr:colOff>304800</xdr:colOff>
      <xdr:row>17</xdr:row>
      <xdr:rowOff>190500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PI%20version%202.1%20-%2020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PI%20version%202.1%20-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Comparaison SSAR"/>
      <sheetName val="Synthese 2"/>
      <sheetName val="Conversion"/>
      <sheetName val="Sheet2"/>
      <sheetName val="Detail"/>
      <sheetName val="Procédure"/>
      <sheetName val="SHIP"/>
      <sheetName val="Séquence"/>
      <sheetName val="DATA"/>
      <sheetName val="TCD VLOOKUP"/>
      <sheetName val="Tableau de Bor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 t="str">
            <v>Janvier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 t="str">
            <v>Février</v>
          </cell>
          <cell r="H1">
            <v>6</v>
          </cell>
          <cell r="I1">
            <v>7</v>
          </cell>
          <cell r="J1">
            <v>8</v>
          </cell>
          <cell r="K1">
            <v>9</v>
          </cell>
          <cell r="L1" t="str">
            <v>Mars</v>
          </cell>
          <cell r="M1">
            <v>10</v>
          </cell>
          <cell r="N1">
            <v>11</v>
          </cell>
          <cell r="O1">
            <v>12</v>
          </cell>
          <cell r="P1">
            <v>13</v>
          </cell>
          <cell r="Q1" t="str">
            <v>Avril</v>
          </cell>
          <cell r="R1">
            <v>14</v>
          </cell>
          <cell r="S1">
            <v>15</v>
          </cell>
          <cell r="T1">
            <v>16</v>
          </cell>
          <cell r="U1">
            <v>17</v>
          </cell>
          <cell r="V1">
            <v>18</v>
          </cell>
          <cell r="W1" t="str">
            <v>Mai</v>
          </cell>
          <cell r="X1">
            <v>19</v>
          </cell>
          <cell r="Y1">
            <v>20</v>
          </cell>
          <cell r="Z1">
            <v>21</v>
          </cell>
          <cell r="AA1">
            <v>22</v>
          </cell>
          <cell r="AB1" t="str">
            <v>Juin</v>
          </cell>
          <cell r="AC1">
            <v>23</v>
          </cell>
          <cell r="AD1">
            <v>24</v>
          </cell>
          <cell r="AE1">
            <v>25</v>
          </cell>
          <cell r="AF1">
            <v>26</v>
          </cell>
          <cell r="AG1" t="str">
            <v>Juillet</v>
          </cell>
          <cell r="AH1">
            <v>27</v>
          </cell>
          <cell r="AI1">
            <v>28</v>
          </cell>
          <cell r="AJ1">
            <v>29</v>
          </cell>
          <cell r="AK1">
            <v>30</v>
          </cell>
          <cell r="AL1">
            <v>31</v>
          </cell>
          <cell r="AM1" t="str">
            <v>Août</v>
          </cell>
          <cell r="AN1">
            <v>32</v>
          </cell>
          <cell r="AO1">
            <v>33</v>
          </cell>
          <cell r="AP1">
            <v>34</v>
          </cell>
          <cell r="AQ1">
            <v>35</v>
          </cell>
          <cell r="AR1" t="str">
            <v>Septembre</v>
          </cell>
          <cell r="AS1">
            <v>36</v>
          </cell>
          <cell r="AT1">
            <v>37</v>
          </cell>
          <cell r="AU1">
            <v>38</v>
          </cell>
          <cell r="AV1">
            <v>39</v>
          </cell>
          <cell r="AW1" t="str">
            <v>Octobre</v>
          </cell>
          <cell r="AX1">
            <v>40</v>
          </cell>
          <cell r="AY1">
            <v>41</v>
          </cell>
          <cell r="AZ1">
            <v>42</v>
          </cell>
          <cell r="BA1">
            <v>43</v>
          </cell>
          <cell r="BB1">
            <v>44</v>
          </cell>
          <cell r="BC1" t="str">
            <v>Novembre</v>
          </cell>
          <cell r="BD1">
            <v>45</v>
          </cell>
          <cell r="BE1">
            <v>46</v>
          </cell>
          <cell r="BF1">
            <v>47</v>
          </cell>
          <cell r="BG1">
            <v>48</v>
          </cell>
          <cell r="BH1" t="str">
            <v>Décembre</v>
          </cell>
          <cell r="BI1">
            <v>45</v>
          </cell>
          <cell r="BJ1">
            <v>46</v>
          </cell>
          <cell r="BK1">
            <v>47</v>
          </cell>
          <cell r="BL1">
            <v>48</v>
          </cell>
          <cell r="BM1" t="str">
            <v>Total N</v>
          </cell>
          <cell r="BN1" t="str">
            <v>Total N-1</v>
          </cell>
        </row>
      </sheetData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Comparaison SSAR"/>
      <sheetName val="Synthese 2"/>
      <sheetName val="Conversion"/>
      <sheetName val="Sheet2"/>
      <sheetName val="Detail"/>
      <sheetName val="Procédure"/>
      <sheetName val="SHIP"/>
      <sheetName val="Séquence"/>
      <sheetName val="DATA"/>
      <sheetName val="TCD VLOOKUP"/>
      <sheetName val="Tableau de Bo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I4" t="str">
            <v>Count of SeqNo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N37"/>
  <sheetViews>
    <sheetView tabSelected="1" workbookViewId="0">
      <selection activeCell="C25" sqref="C25"/>
    </sheetView>
  </sheetViews>
  <sheetFormatPr baseColWidth="10" defaultRowHeight="15" x14ac:dyDescent="0.25"/>
  <cols>
    <col min="1" max="1" width="12.5703125" bestFit="1" customWidth="1"/>
  </cols>
  <sheetData>
    <row r="1" spans="1:66" x14ac:dyDescent="0.25">
      <c r="A1" t="s">
        <v>0</v>
      </c>
      <c r="B1" t="s">
        <v>1</v>
      </c>
      <c r="C1">
        <v>2</v>
      </c>
      <c r="D1">
        <v>3</v>
      </c>
      <c r="E1">
        <v>4</v>
      </c>
      <c r="F1">
        <v>5</v>
      </c>
      <c r="G1" t="s">
        <v>2</v>
      </c>
      <c r="H1">
        <v>6</v>
      </c>
      <c r="I1">
        <v>7</v>
      </c>
      <c r="J1">
        <v>8</v>
      </c>
      <c r="K1">
        <v>9</v>
      </c>
      <c r="L1" t="s">
        <v>3</v>
      </c>
      <c r="M1">
        <v>10</v>
      </c>
      <c r="N1">
        <v>11</v>
      </c>
      <c r="O1">
        <v>12</v>
      </c>
      <c r="P1">
        <v>13</v>
      </c>
      <c r="Q1" t="s">
        <v>4</v>
      </c>
      <c r="R1">
        <v>14</v>
      </c>
      <c r="S1">
        <v>15</v>
      </c>
      <c r="T1">
        <v>16</v>
      </c>
      <c r="U1">
        <v>17</v>
      </c>
      <c r="V1">
        <v>18</v>
      </c>
      <c r="W1" t="s">
        <v>5</v>
      </c>
      <c r="X1">
        <v>19</v>
      </c>
      <c r="Y1">
        <v>20</v>
      </c>
      <c r="Z1">
        <v>21</v>
      </c>
      <c r="AA1">
        <v>22</v>
      </c>
      <c r="AB1" t="s">
        <v>6</v>
      </c>
      <c r="AC1">
        <v>23</v>
      </c>
      <c r="AD1">
        <v>24</v>
      </c>
      <c r="AE1">
        <v>25</v>
      </c>
      <c r="AF1">
        <v>26</v>
      </c>
      <c r="AG1" t="s">
        <v>7</v>
      </c>
      <c r="AH1">
        <v>27</v>
      </c>
      <c r="AI1">
        <v>28</v>
      </c>
      <c r="AJ1">
        <v>29</v>
      </c>
      <c r="AK1">
        <v>30</v>
      </c>
      <c r="AL1">
        <v>31</v>
      </c>
      <c r="AM1" t="s">
        <v>8</v>
      </c>
      <c r="AN1">
        <v>32</v>
      </c>
      <c r="AO1">
        <v>33</v>
      </c>
      <c r="AP1">
        <v>34</v>
      </c>
      <c r="AQ1">
        <v>35</v>
      </c>
      <c r="AR1" t="s">
        <v>9</v>
      </c>
      <c r="AS1">
        <v>36</v>
      </c>
      <c r="AT1">
        <v>37</v>
      </c>
      <c r="AU1">
        <v>38</v>
      </c>
      <c r="AV1">
        <v>39</v>
      </c>
      <c r="AW1" t="s">
        <v>10</v>
      </c>
      <c r="AX1">
        <v>40</v>
      </c>
      <c r="AY1">
        <v>41</v>
      </c>
      <c r="AZ1">
        <v>42</v>
      </c>
      <c r="BA1">
        <v>43</v>
      </c>
      <c r="BB1">
        <v>44</v>
      </c>
      <c r="BC1" t="s">
        <v>11</v>
      </c>
      <c r="BD1">
        <v>45</v>
      </c>
      <c r="BE1">
        <v>46</v>
      </c>
      <c r="BF1">
        <v>47</v>
      </c>
      <c r="BG1">
        <v>48</v>
      </c>
      <c r="BH1" t="s">
        <v>12</v>
      </c>
      <c r="BI1">
        <v>45</v>
      </c>
      <c r="BJ1">
        <v>46</v>
      </c>
      <c r="BK1">
        <v>47</v>
      </c>
      <c r="BL1">
        <v>48</v>
      </c>
      <c r="BM1" s="1" t="s">
        <v>13</v>
      </c>
      <c r="BN1" s="1" t="s">
        <v>14</v>
      </c>
    </row>
    <row r="2" spans="1:66" x14ac:dyDescent="0.25">
      <c r="A2" t="s">
        <v>15</v>
      </c>
      <c r="C2" s="2"/>
      <c r="D2" s="2"/>
      <c r="E2" s="2"/>
      <c r="F2" s="2"/>
      <c r="BM2" s="1"/>
      <c r="BN2" s="1"/>
    </row>
    <row r="3" spans="1:66" x14ac:dyDescent="0.25">
      <c r="A3" t="s">
        <v>21</v>
      </c>
      <c r="B3" s="2">
        <f>AVERAGE(C3:F3)</f>
        <v>0.90037206889333832</v>
      </c>
      <c r="C3" s="2">
        <v>0.81481481481481477</v>
      </c>
      <c r="D3" s="2">
        <v>0.93996569468267577</v>
      </c>
      <c r="E3" s="2">
        <v>0.90784313725490196</v>
      </c>
      <c r="F3" s="2">
        <v>0.93886462882096067</v>
      </c>
      <c r="G3" s="2">
        <f>AVERAGE(H3:K3)</f>
        <v>0.91586599061192508</v>
      </c>
      <c r="H3" s="2">
        <v>0.91017964071856283</v>
      </c>
      <c r="I3" s="2">
        <v>0.90843806104129265</v>
      </c>
      <c r="J3" s="2">
        <v>0.93493635077793491</v>
      </c>
      <c r="K3" s="2">
        <v>0.90990990990990994</v>
      </c>
      <c r="L3" s="2">
        <f>AVERAGE(M3:P3)</f>
        <v>0.85872801340763139</v>
      </c>
      <c r="M3" s="2">
        <v>0.80400572246065805</v>
      </c>
      <c r="N3" s="2">
        <v>0.94917582417582413</v>
      </c>
      <c r="O3" s="2">
        <v>0.86866059817945385</v>
      </c>
      <c r="P3" s="2">
        <v>0.81306990881458963</v>
      </c>
      <c r="Q3" s="2">
        <f>AVERAGE(R3:U3)</f>
        <v>0.87944337993678823</v>
      </c>
      <c r="R3" s="2">
        <v>0.92252681764004762</v>
      </c>
      <c r="S3" s="2">
        <v>0.88095238095238093</v>
      </c>
      <c r="T3" s="2">
        <v>0.84257871064467771</v>
      </c>
      <c r="U3" s="2">
        <v>0.87171561051004631</v>
      </c>
      <c r="V3" s="2">
        <v>0.90173410404624277</v>
      </c>
      <c r="W3" s="2">
        <f>AVERAGE(X3:AA3)</f>
        <v>0.92918742191725301</v>
      </c>
      <c r="X3" s="2">
        <v>0.94674556213017746</v>
      </c>
      <c r="Y3" s="2">
        <v>0.8824833702882483</v>
      </c>
      <c r="Z3" s="2">
        <v>0.95833333333333337</v>
      </c>
      <c r="AA3" s="2"/>
      <c r="AB3" s="2" t="e">
        <f>AVERAGE(AC3:AF3)</f>
        <v>#DIV/0!</v>
      </c>
      <c r="AC3" s="2"/>
      <c r="AD3" s="2"/>
      <c r="AE3" s="2"/>
      <c r="AF3" s="2"/>
      <c r="AG3" s="2" t="e">
        <f>AVERAGE(AH3:AL3)</f>
        <v>#DIV/0!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>
        <v>0.89492431586963406</v>
      </c>
      <c r="BN3" s="2">
        <v>0.75</v>
      </c>
    </row>
    <row r="4" spans="1:66" x14ac:dyDescent="0.25">
      <c r="A4" t="s">
        <v>22</v>
      </c>
      <c r="B4" s="2">
        <f>AVERAGE(C4:F4)</f>
        <v>9.9627931106661669E-2</v>
      </c>
      <c r="C4" s="2">
        <v>0.18518518518518517</v>
      </c>
      <c r="D4" s="2">
        <v>6.0034305317324184E-2</v>
      </c>
      <c r="E4" s="2">
        <v>9.2156862745098045E-2</v>
      </c>
      <c r="F4" s="2">
        <v>6.1135371179039298E-2</v>
      </c>
      <c r="G4" s="2">
        <f>AVERAGE(H4:K4)</f>
        <v>8.4134009388074915E-2</v>
      </c>
      <c r="H4" s="2">
        <v>8.9820359281437126E-2</v>
      </c>
      <c r="I4" s="2">
        <v>9.1561938958707359E-2</v>
      </c>
      <c r="J4" s="2">
        <v>6.5063649222065062E-2</v>
      </c>
      <c r="K4" s="2">
        <v>9.0090090090090086E-2</v>
      </c>
      <c r="L4" s="2">
        <f>AVERAGE(M4:P4)</f>
        <v>0.14127198659236856</v>
      </c>
      <c r="M4" s="2">
        <v>0.19599427753934193</v>
      </c>
      <c r="N4" s="2">
        <v>5.0824175824175824E-2</v>
      </c>
      <c r="O4" s="2">
        <v>0.13133940182054615</v>
      </c>
      <c r="P4" s="2">
        <v>0.18693009118541035</v>
      </c>
      <c r="Q4" s="2">
        <f>AVERAGE(R4:U4)</f>
        <v>0.12055662006321184</v>
      </c>
      <c r="R4" s="2">
        <v>7.7473182359952319E-2</v>
      </c>
      <c r="S4" s="2">
        <v>0.11904761904761904</v>
      </c>
      <c r="T4" s="2">
        <v>0.15742128935532235</v>
      </c>
      <c r="U4" s="2">
        <v>0.12828438948995363</v>
      </c>
      <c r="V4" s="2">
        <v>9.8265895953757232E-2</v>
      </c>
      <c r="W4" s="2">
        <f>AVERAGE(X4:AA4)</f>
        <v>7.0812578082746935E-2</v>
      </c>
      <c r="X4" s="2">
        <v>5.3254437869822487E-2</v>
      </c>
      <c r="Y4" s="2">
        <v>0.11751662971175167</v>
      </c>
      <c r="Z4" s="2">
        <v>4.1666666666666664E-2</v>
      </c>
      <c r="AA4" s="2"/>
      <c r="AB4" s="2" t="e">
        <f>AVERAGE(AC4:AF4)</f>
        <v>#DIV/0!</v>
      </c>
      <c r="AC4" s="2"/>
      <c r="AD4" s="2"/>
      <c r="AE4" s="2"/>
      <c r="AF4" s="2"/>
      <c r="AG4" s="2" t="e">
        <f>AVERAGE(AH4:AL4)</f>
        <v>#DIV/0!</v>
      </c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>
        <v>0.10503423333258366</v>
      </c>
      <c r="BN4" s="2">
        <v>0.15</v>
      </c>
    </row>
    <row r="5" spans="1:66" x14ac:dyDescent="0.25">
      <c r="A5" t="s">
        <v>16</v>
      </c>
      <c r="B5" s="2">
        <f>AVERAGE(C5:F5)</f>
        <v>0.99</v>
      </c>
      <c r="C5" s="2">
        <v>0.99</v>
      </c>
      <c r="D5" s="2">
        <v>0.99</v>
      </c>
      <c r="E5" s="2">
        <v>0.99</v>
      </c>
      <c r="F5" s="2">
        <v>0.99</v>
      </c>
      <c r="G5" s="2">
        <f>AVERAGE(H5:K5)</f>
        <v>0.99</v>
      </c>
      <c r="H5" s="2">
        <v>0.99</v>
      </c>
      <c r="I5" s="2">
        <v>0.99</v>
      </c>
      <c r="J5" s="2">
        <v>0.99</v>
      </c>
      <c r="K5" s="2">
        <v>0.99</v>
      </c>
      <c r="L5" s="2">
        <f>AVERAGE(M5:P5)</f>
        <v>0.99</v>
      </c>
      <c r="M5" s="2">
        <v>0.99</v>
      </c>
      <c r="N5" s="2">
        <v>0.99</v>
      </c>
      <c r="O5" s="2">
        <v>0.99</v>
      </c>
      <c r="P5" s="2">
        <v>0.99</v>
      </c>
      <c r="Q5" s="2">
        <f>AVERAGE(R5:U5)</f>
        <v>0.99</v>
      </c>
      <c r="R5" s="2">
        <v>0.99</v>
      </c>
      <c r="S5" s="2">
        <v>0.99</v>
      </c>
      <c r="T5" s="2">
        <v>0.99</v>
      </c>
      <c r="U5" s="2">
        <v>0.99</v>
      </c>
      <c r="V5" s="2">
        <v>0.99</v>
      </c>
      <c r="W5" s="2">
        <f>AVERAGE(X5:AA5)</f>
        <v>0.99</v>
      </c>
      <c r="X5" s="2">
        <v>0.99</v>
      </c>
      <c r="Y5" s="2">
        <v>0.99</v>
      </c>
      <c r="Z5" s="2">
        <v>0.99</v>
      </c>
      <c r="AA5" s="2">
        <v>0.99</v>
      </c>
      <c r="AB5" s="2">
        <f>AVERAGE(AC5:AF5)</f>
        <v>0.99</v>
      </c>
      <c r="AC5" s="2">
        <v>0.99</v>
      </c>
      <c r="AD5" s="2">
        <v>0.99</v>
      </c>
      <c r="AE5" s="2">
        <v>0.99</v>
      </c>
      <c r="AF5" s="2">
        <v>0.99</v>
      </c>
      <c r="AG5" s="2">
        <v>0.99</v>
      </c>
      <c r="AH5" s="2">
        <v>0.99</v>
      </c>
      <c r="AI5" s="2">
        <v>0.99</v>
      </c>
      <c r="AJ5" s="2">
        <v>0.99</v>
      </c>
      <c r="AK5" s="2">
        <v>0.99</v>
      </c>
      <c r="AL5" s="2">
        <v>0.99</v>
      </c>
      <c r="AM5" s="2">
        <v>0.99</v>
      </c>
      <c r="AN5" s="2">
        <v>0.99</v>
      </c>
      <c r="AO5" s="2">
        <v>0.99</v>
      </c>
      <c r="AP5" s="2">
        <v>0.99</v>
      </c>
      <c r="AQ5" s="2">
        <v>0.99</v>
      </c>
      <c r="AR5" s="2">
        <v>0.99</v>
      </c>
      <c r="AS5" s="2">
        <v>0.99</v>
      </c>
      <c r="AT5" s="2">
        <v>0.99</v>
      </c>
      <c r="AU5" s="2">
        <v>0.99</v>
      </c>
      <c r="AV5" s="2">
        <v>0.99</v>
      </c>
      <c r="AW5" s="2">
        <v>0.99</v>
      </c>
      <c r="AX5" s="2">
        <v>0.99</v>
      </c>
      <c r="AY5" s="2">
        <v>0.99</v>
      </c>
      <c r="AZ5" s="2">
        <v>0.99</v>
      </c>
      <c r="BA5" s="2">
        <v>0.99</v>
      </c>
      <c r="BB5" s="2">
        <v>0.99</v>
      </c>
      <c r="BC5" s="2">
        <v>0.99</v>
      </c>
      <c r="BD5" s="2">
        <v>0.99</v>
      </c>
      <c r="BE5" s="2">
        <v>0.99</v>
      </c>
      <c r="BF5" s="2">
        <v>0.99</v>
      </c>
      <c r="BG5" s="2">
        <v>0.99</v>
      </c>
      <c r="BH5" s="2">
        <v>0.99</v>
      </c>
      <c r="BI5" s="2">
        <v>0.99</v>
      </c>
      <c r="BJ5" s="2">
        <v>0.99</v>
      </c>
      <c r="BK5" s="2">
        <v>0.99</v>
      </c>
      <c r="BL5" s="2">
        <v>0.99</v>
      </c>
      <c r="BM5" s="2">
        <v>0.99</v>
      </c>
      <c r="BN5" s="2">
        <v>0.99</v>
      </c>
    </row>
    <row r="6" spans="1:66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</row>
    <row r="8" spans="1:66" x14ac:dyDescent="0.25">
      <c r="A8" s="52" t="s">
        <v>0</v>
      </c>
      <c r="B8" s="53" t="s">
        <v>1</v>
      </c>
      <c r="C8" s="54">
        <v>2</v>
      </c>
      <c r="D8" s="54">
        <v>3</v>
      </c>
      <c r="E8" s="54">
        <v>4</v>
      </c>
      <c r="F8" s="54">
        <v>5</v>
      </c>
      <c r="G8" s="53" t="s">
        <v>2</v>
      </c>
      <c r="H8" s="54">
        <v>6</v>
      </c>
      <c r="I8" s="54">
        <v>7</v>
      </c>
      <c r="J8" s="54">
        <v>8</v>
      </c>
      <c r="K8" s="54">
        <v>9</v>
      </c>
      <c r="L8" s="53" t="s">
        <v>3</v>
      </c>
      <c r="M8" s="54">
        <v>10</v>
      </c>
      <c r="N8" s="54">
        <v>11</v>
      </c>
      <c r="O8" s="54">
        <v>12</v>
      </c>
      <c r="P8" s="54">
        <v>13</v>
      </c>
      <c r="Q8" s="53" t="s">
        <v>4</v>
      </c>
      <c r="R8" s="54">
        <v>14</v>
      </c>
      <c r="S8" s="54">
        <v>15</v>
      </c>
      <c r="T8" s="54">
        <v>16</v>
      </c>
      <c r="U8" s="54">
        <v>17</v>
      </c>
      <c r="V8" s="53" t="s">
        <v>5</v>
      </c>
    </row>
    <row r="9" spans="1:66" x14ac:dyDescent="0.25">
      <c r="A9" s="52" t="s">
        <v>15</v>
      </c>
      <c r="B9" s="55"/>
      <c r="C9" s="56"/>
      <c r="D9" s="56"/>
      <c r="E9" s="56"/>
      <c r="F9" s="56"/>
      <c r="G9" s="55"/>
      <c r="H9" s="57"/>
      <c r="I9" s="57"/>
      <c r="J9" s="57"/>
      <c r="K9" s="57"/>
      <c r="L9" s="55"/>
      <c r="M9" s="58"/>
      <c r="N9" s="58"/>
      <c r="O9" s="58"/>
      <c r="P9" s="58"/>
      <c r="Q9" s="55"/>
      <c r="R9" s="57"/>
      <c r="S9" s="57"/>
      <c r="T9" s="57"/>
      <c r="U9" s="57"/>
      <c r="V9" s="55"/>
    </row>
    <row r="10" spans="1:66" x14ac:dyDescent="0.25">
      <c r="A10" s="59" t="s">
        <v>26</v>
      </c>
      <c r="B10" s="56">
        <f>VALUE(GETPIVOTDATA("SeqNo",'[2]TCD VLOOKUP'!$I$4,"month","Janvier","Blocage","COP"))</f>
        <v>2.4390243902439025E-2</v>
      </c>
      <c r="C10" s="56">
        <f>GETPIVOTDATA("SeqNo",'[2]TCD VLOOKUP'!$I$4,"WEEK","02","month","Janvier","Blocage","COP")</f>
        <v>8.6956521739130436E-3</v>
      </c>
      <c r="D10" s="56">
        <f>GETPIVOTDATA("SeqNo",'[2]TCD VLOOKUP'!$I$4,"WEEK","03","month","Janvier","Blocage","COP")</f>
        <v>0</v>
      </c>
      <c r="E10" s="56">
        <f>GETPIVOTDATA("SeqNo",'[2]TCD VLOOKUP'!$I$4,"WEEK","04","month","Janvier","Blocage","COP")</f>
        <v>0.375</v>
      </c>
      <c r="F10" s="56">
        <f>GETPIVOTDATA("SeqNo",'[2]TCD VLOOKUP'!$I$4,"WEEK","05","month","Janvier","Blocage","COP")</f>
        <v>0</v>
      </c>
      <c r="G10" s="56">
        <f>GETPIVOTDATA("SeqNo",'[2]TCD VLOOKUP'!$I$4,"month","Février","Blocage","COP")</f>
        <v>0</v>
      </c>
      <c r="H10" s="3">
        <f>GETPIVOTDATA("SeqNo",'[2]TCD VLOOKUP'!$I$4,"WEEK","06","month","Février","Blocage","COP")</f>
        <v>0</v>
      </c>
      <c r="I10" s="3">
        <f>GETPIVOTDATA("SeqNo",'[2]TCD VLOOKUP'!$I$4,"WEEK","07","month","Février","Blocage","COP")</f>
        <v>0</v>
      </c>
      <c r="J10" s="3">
        <f>GETPIVOTDATA("SeqNo",'[2]TCD VLOOKUP'!$I$4,"WEEK","08","month","Février","Blocage","COP")</f>
        <v>0</v>
      </c>
      <c r="K10" s="3">
        <f>GETPIVOTDATA("SeqNo",'[2]TCD VLOOKUP'!$I$4,"WEEK","09","month","Février","Blocage","COP")</f>
        <v>0</v>
      </c>
      <c r="L10" s="56">
        <f>GETPIVOTDATA("SeqNo",'[2]TCD VLOOKUP'!$I$4,"month","Mars","Blocage","COP")</f>
        <v>0</v>
      </c>
      <c r="M10" s="3">
        <f>GETPIVOTDATA("SeqNo",'[2]TCD VLOOKUP'!$I$4,"WEEK","10","month","Mars","Blocage","COP")</f>
        <v>0</v>
      </c>
      <c r="N10" s="3">
        <f>GETPIVOTDATA("SeqNo",'[2]TCD VLOOKUP'!$I$4,"WEEK","11","month","Mars","Blocage","COP")</f>
        <v>0</v>
      </c>
      <c r="O10" s="3">
        <f>GETPIVOTDATA("SeqNo",'[2]TCD VLOOKUP'!$I$4,"WEEK","12","month","Mars","Blocage","COP")</f>
        <v>0</v>
      </c>
      <c r="P10" s="3">
        <f>GETPIVOTDATA("SeqNo",'[2]TCD VLOOKUP'!$I$4,"WEEK","13","month","Mars","Blocage","COP")</f>
        <v>0</v>
      </c>
      <c r="Q10" s="56">
        <f>GETPIVOTDATA("SeqNo",'[2]TCD VLOOKUP'!$I$4,"month","Avril","Blocage","COP")</f>
        <v>0</v>
      </c>
      <c r="R10" s="56">
        <f>GETPIVOTDATA("SeqNo",'[2]TCD VLOOKUP'!$I$4,"WEEK","14","month","Avril","Blocage","COP")</f>
        <v>0</v>
      </c>
      <c r="S10" s="56">
        <f>GETPIVOTDATA("SeqNo",'[2]TCD VLOOKUP'!$I$4,"WEEK","15","month","Avril","Blocage","COP")</f>
        <v>0</v>
      </c>
      <c r="T10" s="56">
        <f>GETPIVOTDATA("SeqNo",'[2]TCD VLOOKUP'!$I$4,"WEEK","16","month","Avril","Blocage","COP")</f>
        <v>0</v>
      </c>
      <c r="U10" s="56">
        <f>GETPIVOTDATA("SeqNo",'[2]TCD VLOOKUP'!$I$4,"WEEK","17","month","Avril","Blocage","COP")</f>
        <v>0</v>
      </c>
      <c r="V10" s="56">
        <f>GETPIVOTDATA("SeqNo",'[2]TCD VLOOKUP'!$I$4,"month","Mai","Blocage","COP")</f>
        <v>2.0408163265306121E-2</v>
      </c>
    </row>
    <row r="11" spans="1:66" x14ac:dyDescent="0.25">
      <c r="A11" s="59" t="s">
        <v>24</v>
      </c>
      <c r="B11" s="56">
        <f>VALUE(GETPIVOTDATA("SeqNo",'[2]TCD VLOOKUP'!$I$4,"month","Janvier","Blocage","Demande"))</f>
        <v>1.2195121951219513E-2</v>
      </c>
      <c r="C11" s="56">
        <f>GETPIVOTDATA("SeqNo",'[2]TCD VLOOKUP'!$I$4,"WEEK","02","month","Janvier","Blocage","Demande")</f>
        <v>0</v>
      </c>
      <c r="D11" s="56">
        <f>GETPIVOTDATA("SeqNo",'[2]TCD VLOOKUP'!$I$4,"WEEK","03","month","Janvier","Blocage","Demande")</f>
        <v>0</v>
      </c>
      <c r="E11" s="56">
        <f>GETPIVOTDATA("SeqNo",'[2]TCD VLOOKUP'!$I$4,"WEEK","04","month","Janvier","Blocage","Demande")</f>
        <v>0</v>
      </c>
      <c r="F11" s="56">
        <f>GETPIVOTDATA("SeqNo",'[2]TCD VLOOKUP'!$I$4,"WEEK","05","month","Janvier","Blocage","Demande")</f>
        <v>0.22222222222222221</v>
      </c>
      <c r="G11" s="56">
        <f>GETPIVOTDATA("SeqNo",'[2]TCD VLOOKUP'!$I$4,"month","Février","Blocage","Demande")</f>
        <v>0.46031746031746029</v>
      </c>
      <c r="H11" s="3">
        <f>GETPIVOTDATA("SeqNo",'[2]TCD VLOOKUP'!$I$4,"WEEK","06","month","Février","Blocage","Demande")</f>
        <v>0.3125</v>
      </c>
      <c r="I11" s="3">
        <f>GETPIVOTDATA("SeqNo",'[2]TCD VLOOKUP'!$I$4,"WEEK","07","month","Février","Blocage","Demande")</f>
        <v>0</v>
      </c>
      <c r="J11" s="3">
        <f>GETPIVOTDATA("SeqNo",'[2]TCD VLOOKUP'!$I$4,"WEEK","08","month","Février","Blocage","Demande")</f>
        <v>0.56097560975609762</v>
      </c>
      <c r="K11" s="3">
        <f>GETPIVOTDATA("SeqNo",'[2]TCD VLOOKUP'!$I$4,"WEEK","09","month","Février","Blocage","Demande")</f>
        <v>0.49180327868852458</v>
      </c>
      <c r="L11" s="56">
        <f>GETPIVOTDATA("SeqNo",'[2]TCD VLOOKUP'!$I$4,"month","Mars","Blocage","Demande")</f>
        <v>9.7989949748743713E-2</v>
      </c>
      <c r="M11" s="3">
        <f>GETPIVOTDATA("SeqNo",'[2]TCD VLOOKUP'!$I$4,"WEEK","10","month","Mars","Blocage","Demande")</f>
        <v>0.13138686131386862</v>
      </c>
      <c r="N11" s="3">
        <f>GETPIVOTDATA("SeqNo",'[2]TCD VLOOKUP'!$I$4,"WEEK","11","month","Mars","Blocage","Demande")</f>
        <v>0.32432432432432434</v>
      </c>
      <c r="O11" s="3">
        <f>GETPIVOTDATA("SeqNo",'[2]TCD VLOOKUP'!$I$4,"WEEK","12","month","Mars","Blocage","Demande")</f>
        <v>1.9801980198019802E-2</v>
      </c>
      <c r="P11" s="3">
        <f>GETPIVOTDATA("SeqNo",'[2]TCD VLOOKUP'!$I$4,"WEEK","13","month","Mars","Blocage","Demande")</f>
        <v>5.6910569105691054E-2</v>
      </c>
      <c r="Q11" s="56">
        <f>GETPIVOTDATA("SeqNo",'[2]TCD VLOOKUP'!$I$4,"month","Avril","Blocage","Demande")</f>
        <v>4.2492917847025496E-2</v>
      </c>
      <c r="R11" s="56">
        <f>GETPIVOTDATA("SeqNo",'[2]TCD VLOOKUP'!$I$4,"WEEK","14","month","Avril","Blocage","Demande")</f>
        <v>0.15384615384615385</v>
      </c>
      <c r="S11" s="56">
        <f>GETPIVOTDATA("SeqNo",'[2]TCD VLOOKUP'!$I$4,"WEEK","15","month","Avril","Blocage","Demande")</f>
        <v>0</v>
      </c>
      <c r="T11" s="56">
        <f>GETPIVOTDATA("SeqNo",'[2]TCD VLOOKUP'!$I$4,"WEEK","16","month","Avril","Blocage","Demande")</f>
        <v>3.8095238095238099E-2</v>
      </c>
      <c r="U11" s="56">
        <f>GETPIVOTDATA("SeqNo",'[2]TCD VLOOKUP'!$I$4,"WEEK","17","month","Avril","Blocage","Demande")</f>
        <v>1.2048192771084338E-2</v>
      </c>
      <c r="V11" s="56">
        <f>GETPIVOTDATA("SeqNo",'[2]TCD VLOOKUP'!$I$4,"month","Mai","Blocage","Demande")</f>
        <v>0.14285714285714285</v>
      </c>
    </row>
    <row r="12" spans="1:66" x14ac:dyDescent="0.25">
      <c r="A12" s="59" t="s">
        <v>27</v>
      </c>
      <c r="B12" s="56">
        <f>GETPIVOTDATA("SeqNo",'[2]TCD VLOOKUP'!$I$4,"month","Janvier","Blocage","MARTINGALE")</f>
        <v>7.3170731707317069E-2</v>
      </c>
      <c r="C12" s="56">
        <f>GETPIVOTDATA("SeqNo",'[2]TCD VLOOKUP'!$I$4,"WEEK","02","month","Janvier","Blocage","MARTINGALE")</f>
        <v>8.6956521739130432E-2</v>
      </c>
      <c r="D12" s="56">
        <f>GETPIVOTDATA("SeqNo",'[2]TCD VLOOKUP'!$I$4,"WEEK","03","month","Janvier","Blocage","MARTINGALE")</f>
        <v>3.125E-2</v>
      </c>
      <c r="E12" s="56">
        <f>GETPIVOTDATA("SeqNo",'[2]TCD VLOOKUP'!$I$4,"WEEK","04","month","Janvier","Blocage","MARTINGALE")</f>
        <v>0.125</v>
      </c>
      <c r="F12" s="56">
        <f>GETPIVOTDATA("SeqNo",'[2]TCD VLOOKUP'!$I$4,"WEEK","05","month","Janvier","Blocage","MARTINGALE")</f>
        <v>0</v>
      </c>
      <c r="G12" s="56">
        <f>GETPIVOTDATA("SeqNo",'[2]TCD VLOOKUP'!$I$4,"month","Février","Blocage","MARTINGALE")</f>
        <v>1.5873015873015872E-2</v>
      </c>
      <c r="H12" s="3">
        <f>GETPIVOTDATA("SeqNo",'[2]TCD VLOOKUP'!$I$4,"WEEK","06","month","Février","Blocage","MARTINGALE")</f>
        <v>0</v>
      </c>
      <c r="I12" s="3">
        <f>GETPIVOTDATA("SeqNo",'[2]TCD VLOOKUP'!$I$4,"WEEK","07","month","Février","Blocage","MARTINGALE")</f>
        <v>0</v>
      </c>
      <c r="J12" s="3">
        <f>GETPIVOTDATA("SeqNo",'[2]TCD VLOOKUP'!$I$4,"WEEK","08","month","Février","Blocage","MARTINGALE")</f>
        <v>2.4390243902439025E-2</v>
      </c>
      <c r="K12" s="3">
        <f>GETPIVOTDATA("SeqNo",'[2]TCD VLOOKUP'!$I$4,"WEEK","09","month","Février","Blocage","MARTINGALE")</f>
        <v>1.6393442622950821E-2</v>
      </c>
      <c r="L12" s="56">
        <f>GETPIVOTDATA("SeqNo",'[2]TCD VLOOKUP'!$I$4,"month","Mars","Blocage","MARTINGALE")</f>
        <v>4.0201005025125629E-2</v>
      </c>
      <c r="M12" s="3">
        <f>GETPIVOTDATA("SeqNo",'[2]TCD VLOOKUP'!$I$4,"WEEK","10","month","Mars","Blocage","MARTINGALE")</f>
        <v>1.4598540145985401E-2</v>
      </c>
      <c r="N12" s="3">
        <f>GETPIVOTDATA("SeqNo",'[2]TCD VLOOKUP'!$I$4,"WEEK","11","month","Mars","Blocage","MARTINGALE")</f>
        <v>0</v>
      </c>
      <c r="O12" s="3">
        <f>GETPIVOTDATA("SeqNo",'[2]TCD VLOOKUP'!$I$4,"WEEK","12","month","Mars","Blocage","MARTINGALE")</f>
        <v>7.9207920792079209E-2</v>
      </c>
      <c r="P12" s="3">
        <f>GETPIVOTDATA("SeqNo",'[2]TCD VLOOKUP'!$I$4,"WEEK","13","month","Mars","Blocage","MARTINGALE")</f>
        <v>4.878048780487805E-2</v>
      </c>
      <c r="Q12" s="56">
        <f>GETPIVOTDATA("SeqNo",'[2]TCD VLOOKUP'!$I$4,"month","Avril","Blocage","MARTINGALE")</f>
        <v>1.69971671388102E-2</v>
      </c>
      <c r="R12" s="56">
        <f>GETPIVOTDATA("SeqNo",'[2]TCD VLOOKUP'!$I$4,"WEEK","14","month","Avril","Blocage","MARTINGALE")</f>
        <v>0</v>
      </c>
      <c r="S12" s="56">
        <f>GETPIVOTDATA("SeqNo",'[2]TCD VLOOKUP'!$I$4,"WEEK","15","month","Avril","Blocage","MARTINGALE")</f>
        <v>0.02</v>
      </c>
      <c r="T12" s="56">
        <f>GETPIVOTDATA("SeqNo",'[2]TCD VLOOKUP'!$I$4,"WEEK","16","month","Avril","Blocage","MARTINGALE")</f>
        <v>3.8095238095238099E-2</v>
      </c>
      <c r="U12" s="56">
        <f>GETPIVOTDATA("SeqNo",'[2]TCD VLOOKUP'!$I$4,"WEEK","17","month","Avril","Blocage","MARTINGALE")</f>
        <v>0</v>
      </c>
      <c r="V12" s="56">
        <f>GETPIVOTDATA("SeqNo",'[2]TCD VLOOKUP'!$I$4,"month","Mai","Blocage","MARTINGALE")</f>
        <v>5.1020408163265307E-2</v>
      </c>
    </row>
    <row r="13" spans="1:66" x14ac:dyDescent="0.25">
      <c r="A13" s="59" t="s">
        <v>23</v>
      </c>
      <c r="B13" s="56">
        <f>VALUE(GETPIVOTDATA("SeqNo",'[2]TCD VLOOKUP'!$I$4,"month","Janvier","Blocage","Pièces"))</f>
        <v>0.8902439024390244</v>
      </c>
      <c r="C13" s="56">
        <f>GETPIVOTDATA("SeqNo",'[2]TCD VLOOKUP'!$I$4,"WEEK","02","month","Janvier","Blocage","Pièces")</f>
        <v>0.90434782608695652</v>
      </c>
      <c r="D13" s="56">
        <f>GETPIVOTDATA("SeqNo",'[2]TCD VLOOKUP'!$I$4,"WEEK","03","month","Janvier","Blocage","Pièces")</f>
        <v>0.96875</v>
      </c>
      <c r="E13" s="56">
        <f>GETPIVOTDATA("SeqNo",'[2]TCD VLOOKUP'!$I$4,"WEEK","04","month","Janvier","Blocage","Pièces")</f>
        <v>0.5</v>
      </c>
      <c r="F13" s="56">
        <f>GETPIVOTDATA("SeqNo",'[2]TCD VLOOKUP'!$I$4,"WEEK","05","month","Janvier","Blocage","Pièces")</f>
        <v>0.77777777777777779</v>
      </c>
      <c r="G13" s="56">
        <f>GETPIVOTDATA("SeqNo",'[2]TCD VLOOKUP'!$I$4,"month","Février","Blocage","Pièces")</f>
        <v>0.48412698412698413</v>
      </c>
      <c r="H13" s="3">
        <f>GETPIVOTDATA("SeqNo",'[2]TCD VLOOKUP'!$I$4,"WEEK","06","month","Février","Blocage","Pièces")</f>
        <v>0.5</v>
      </c>
      <c r="I13" s="3">
        <f>GETPIVOTDATA("SeqNo",'[2]TCD VLOOKUP'!$I$4,"WEEK","07","month","Février","Blocage","Pièces")</f>
        <v>0.75</v>
      </c>
      <c r="J13" s="3">
        <f>GETPIVOTDATA("SeqNo",'[2]TCD VLOOKUP'!$I$4,"WEEK","08","month","Février","Blocage","Pièces")</f>
        <v>0.41463414634146339</v>
      </c>
      <c r="K13" s="3">
        <f>GETPIVOTDATA("SeqNo",'[2]TCD VLOOKUP'!$I$4,"WEEK","09","month","Février","Blocage","Pièces")</f>
        <v>0.49180327868852458</v>
      </c>
      <c r="L13" s="56">
        <f>GETPIVOTDATA("SeqNo",'[2]TCD VLOOKUP'!$I$4,"month","Mars","Blocage","Pièces")</f>
        <v>0.86180904522613067</v>
      </c>
      <c r="M13" s="3">
        <f>GETPIVOTDATA("SeqNo",'[2]TCD VLOOKUP'!$I$4,"WEEK","10","month","Mars","Blocage","Pièces")</f>
        <v>0.85401459854014594</v>
      </c>
      <c r="N13" s="3">
        <f>GETPIVOTDATA("SeqNo",'[2]TCD VLOOKUP'!$I$4,"WEEK","11","month","Mars","Blocage","Pièces")</f>
        <v>0.67567567567567566</v>
      </c>
      <c r="O13" s="3">
        <f>GETPIVOTDATA("SeqNo",'[2]TCD VLOOKUP'!$I$4,"WEEK","12","month","Mars","Blocage","Pièces")</f>
        <v>0.90099009900990101</v>
      </c>
      <c r="P13" s="3">
        <f>GETPIVOTDATA("SeqNo",'[2]TCD VLOOKUP'!$I$4,"WEEK","13","month","Mars","Blocage","Pièces")</f>
        <v>0.89430894308943087</v>
      </c>
      <c r="Q13" s="56">
        <f>GETPIVOTDATA("SeqNo",'[2]TCD VLOOKUP'!$I$4,"month","Avril","Blocage","Pièces")</f>
        <v>0.94050991501416425</v>
      </c>
      <c r="R13" s="56">
        <f>GETPIVOTDATA("SeqNo",'[2]TCD VLOOKUP'!$I$4,"WEEK","14","month","Avril","Blocage","Pièces")</f>
        <v>0.84615384615384615</v>
      </c>
      <c r="S13" s="56">
        <f>GETPIVOTDATA("SeqNo",'[2]TCD VLOOKUP'!$I$4,"WEEK","15","month","Avril","Blocage","Pièces")</f>
        <v>0.98</v>
      </c>
      <c r="T13" s="56">
        <f>GETPIVOTDATA("SeqNo",'[2]TCD VLOOKUP'!$I$4,"WEEK","16","month","Avril","Blocage","Pièces")</f>
        <v>0.92380952380952386</v>
      </c>
      <c r="U13" s="56">
        <f>GETPIVOTDATA("SeqNo",'[2]TCD VLOOKUP'!$I$4,"WEEK","17","month","Avril","Blocage","Pièces")</f>
        <v>0.98795180722891562</v>
      </c>
      <c r="V13" s="56">
        <f>GETPIVOTDATA("SeqNo",'[2]TCD VLOOKUP'!$I$4,"month","Mai","Blocage","Pièces")</f>
        <v>0.75170068027210879</v>
      </c>
    </row>
    <row r="14" spans="1:66" x14ac:dyDescent="0.25">
      <c r="A14" s="59" t="s">
        <v>28</v>
      </c>
      <c r="B14" s="56">
        <f>VALUE(GETPIVOTDATA("SeqNo",'[2]TCD VLOOKUP'!$I$4,"month","Janvier","Blocage","Projet"))</f>
        <v>0</v>
      </c>
      <c r="C14" s="56">
        <f>GETPIVOTDATA("SeqNo",'[2]TCD VLOOKUP'!$I$4,"WEEK","02","month","Janvier","Blocage","Projet")</f>
        <v>0</v>
      </c>
      <c r="D14" s="56">
        <f>GETPIVOTDATA("SeqNo",'[2]TCD VLOOKUP'!$I$4,"WEEK","03","month","Janvier","Blocage","Projet")</f>
        <v>0</v>
      </c>
      <c r="E14" s="56">
        <f>GETPIVOTDATA("SeqNo",'[2]TCD VLOOKUP'!$I$4,"WEEK","04","month","Janvier","Blocage","Projet")</f>
        <v>0</v>
      </c>
      <c r="F14" s="56">
        <f>GETPIVOTDATA("SeqNo",'[2]TCD VLOOKUP'!$I$4,"WEEK","05","month","Janvier","Blocage","Projet")</f>
        <v>0</v>
      </c>
      <c r="G14" s="56">
        <f>GETPIVOTDATA("SeqNo",'[2]TCD VLOOKUP'!$I$4,"month","Février","Blocage","Projet")</f>
        <v>3.968253968253968E-2</v>
      </c>
      <c r="H14" s="3">
        <f>GETPIVOTDATA("SeqNo",'[2]TCD VLOOKUP'!$I$4,"WEEK","06","month","Février","Blocage","Projet")</f>
        <v>0.1875</v>
      </c>
      <c r="I14" s="3">
        <f>GETPIVOTDATA("SeqNo",'[2]TCD VLOOKUP'!$I$4,"WEEK","07","month","Février","Blocage","Projet")</f>
        <v>0.25</v>
      </c>
      <c r="J14" s="3">
        <f>GETPIVOTDATA("SeqNo",'[2]TCD VLOOKUP'!$I$4,"WEEK","08","month","Février","Blocage","Projet")</f>
        <v>0</v>
      </c>
      <c r="K14" s="3">
        <f>GETPIVOTDATA("SeqNo",'[2]TCD VLOOKUP'!$I$4,"WEEK","09","month","Février","Blocage","Projet")</f>
        <v>0</v>
      </c>
      <c r="L14" s="56">
        <f>GETPIVOTDATA("SeqNo",'[2]TCD VLOOKUP'!$I$4,"month","Mars","Blocage","Projet")</f>
        <v>0</v>
      </c>
      <c r="M14" s="3">
        <f>GETPIVOTDATA("SeqNo",'[2]TCD VLOOKUP'!$I$4,"WEEK","10","month","Mars","Blocage","Projet")</f>
        <v>0</v>
      </c>
      <c r="N14" s="3">
        <f>GETPIVOTDATA("SeqNo",'[2]TCD VLOOKUP'!$I$4,"WEEK","11","month","Mars","Blocage","Projet")</f>
        <v>0</v>
      </c>
      <c r="O14" s="3">
        <f>GETPIVOTDATA("SeqNo",'[2]TCD VLOOKUP'!$I$4,"WEEK","12","month","Mars","Blocage","Projet")</f>
        <v>0</v>
      </c>
      <c r="P14" s="3">
        <f>GETPIVOTDATA("SeqNo",'[2]TCD VLOOKUP'!$I$4,"WEEK","13","month","Mars","Blocage","Projet")</f>
        <v>0</v>
      </c>
      <c r="Q14" s="56">
        <f>GETPIVOTDATA("SeqNo",'[2]TCD VLOOKUP'!$I$4,"month","Avril","Blocage","Projet")</f>
        <v>0</v>
      </c>
      <c r="R14" s="56">
        <f>GETPIVOTDATA("SeqNo",'[2]TCD VLOOKUP'!$I$4,"WEEK","14","month","Avril","Blocage","Projet")</f>
        <v>0</v>
      </c>
      <c r="S14" s="56">
        <f>GETPIVOTDATA("SeqNo",'[2]TCD VLOOKUP'!$I$4,"WEEK","15","month","Avril","Blocage","Projet")</f>
        <v>0</v>
      </c>
      <c r="T14" s="56">
        <f>GETPIVOTDATA("SeqNo",'[2]TCD VLOOKUP'!$I$4,"WEEK","16","month","Avril","Blocage","Projet")</f>
        <v>0</v>
      </c>
      <c r="U14" s="56">
        <f>GETPIVOTDATA("SeqNo",'[2]TCD VLOOKUP'!$I$4,"WEEK","17","month","Avril","Blocage","Projet")</f>
        <v>0</v>
      </c>
      <c r="V14" s="56">
        <f>GETPIVOTDATA("SeqNo",'[2]TCD VLOOKUP'!$I$4,"month","Mai","Blocage","Projet")</f>
        <v>1.020408163265306E-2</v>
      </c>
    </row>
    <row r="15" spans="1:66" x14ac:dyDescent="0.25">
      <c r="A15" s="59" t="s">
        <v>25</v>
      </c>
      <c r="B15" s="56">
        <f>VALUE(GETPIVOTDATA("SeqNo",'[2]TCD VLOOKUP'!$I$4,"month","Janvier","Blocage","BEMS"))</f>
        <v>0</v>
      </c>
      <c r="C15" s="56">
        <f>GETPIVOTDATA("SeqNo",'[2]TCD VLOOKUP'!$I$4,"WEEK","02","month","Janvier","Blocage","BEMS")</f>
        <v>0</v>
      </c>
      <c r="D15" s="56">
        <f>GETPIVOTDATA("SeqNo",'[2]TCD VLOOKUP'!$I$4,"WEEK","03","month","Janvier","Blocage","BEMS")</f>
        <v>0</v>
      </c>
      <c r="E15" s="56">
        <f>GETPIVOTDATA("SeqNo",'[2]TCD VLOOKUP'!$I$4,"WEEK","04","month","Janvier","Blocage","BEMS")</f>
        <v>0</v>
      </c>
      <c r="F15" s="56">
        <f>GETPIVOTDATA("SeqNo",'[2]TCD VLOOKUP'!$I$4,"WEEK","05","month","Janvier","Blocage","BEMS")</f>
        <v>0</v>
      </c>
      <c r="G15" s="56">
        <f>GETPIVOTDATA("SeqNo",'[2]TCD VLOOKUP'!$I$4,"month","Février","Blocage","BEMS")</f>
        <v>0</v>
      </c>
      <c r="H15" s="3">
        <f>GETPIVOTDATA("SeqNo",'[2]TCD VLOOKUP'!$I$4,"WEEK","06","month","Février","Blocage","BEMS")</f>
        <v>0</v>
      </c>
      <c r="I15" s="3">
        <f>GETPIVOTDATA("SeqNo",'[2]TCD VLOOKUP'!$I$4,"WEEK","07","month","Février","Blocage","BEMS")</f>
        <v>0</v>
      </c>
      <c r="J15" s="3">
        <f>GETPIVOTDATA("SeqNo",'[2]TCD VLOOKUP'!$I$4,"WEEK","08","month","Février","Blocage","BEMS")</f>
        <v>0</v>
      </c>
      <c r="K15" s="3">
        <f>GETPIVOTDATA("SeqNo",'[2]TCD VLOOKUP'!$I$4,"WEEK","09","month","Février","Blocage","BEMS")</f>
        <v>0</v>
      </c>
      <c r="L15" s="56">
        <f>GETPIVOTDATA("SeqNo",'[2]TCD VLOOKUP'!$I$4,"month","Mars","Blocage","BEMS")</f>
        <v>0</v>
      </c>
      <c r="M15" s="3">
        <f>GETPIVOTDATA("SeqNo",'[2]TCD VLOOKUP'!$I$4,"WEEK","10","month","Mars","Blocage","BEMS")</f>
        <v>0</v>
      </c>
      <c r="N15" s="3">
        <f>GETPIVOTDATA("SeqNo",'[2]TCD VLOOKUP'!$I$4,"WEEK","11","month","Mars","Blocage","BEMS")</f>
        <v>0</v>
      </c>
      <c r="O15" s="3">
        <f>GETPIVOTDATA("SeqNo",'[2]TCD VLOOKUP'!$I$4,"WEEK","12","month","Mars","Blocage","BEMS")</f>
        <v>0</v>
      </c>
      <c r="P15" s="3">
        <f>GETPIVOTDATA("SeqNo",'[2]TCD VLOOKUP'!$I$4,"WEEK","13","month","Mars","Blocage","BEMS")</f>
        <v>0</v>
      </c>
      <c r="Q15" s="56">
        <f>GETPIVOTDATA("SeqNo",'[2]TCD VLOOKUP'!$I$4,"month","Avril","Blocage","BEMS")</f>
        <v>0</v>
      </c>
      <c r="R15" s="56">
        <f>GETPIVOTDATA("SeqNo",'[2]TCD VLOOKUP'!$I$4,"WEEK","14","month","Avril","Blocage","BEMS")</f>
        <v>0</v>
      </c>
      <c r="S15" s="56">
        <f>GETPIVOTDATA("SeqNo",'[2]TCD VLOOKUP'!$I$4,"WEEK","15","month","Avril","Blocage","BEMS")</f>
        <v>0</v>
      </c>
      <c r="T15" s="56">
        <f>GETPIVOTDATA("SeqNo",'[2]TCD VLOOKUP'!$I$4,"WEEK","16","month","Avril","Blocage","BEMS")</f>
        <v>0</v>
      </c>
      <c r="U15" s="56">
        <f>GETPIVOTDATA("SeqNo",'[2]TCD VLOOKUP'!$I$4,"WEEK","17","month","Avril","Blocage","BEMS")</f>
        <v>0</v>
      </c>
      <c r="V15" s="56">
        <f>GETPIVOTDATA("SeqNo",'[2]TCD VLOOKUP'!$I$4,"month","Mai","Blocage","BEMS")</f>
        <v>2.3809523809523808E-2</v>
      </c>
    </row>
    <row r="16" spans="1:66" x14ac:dyDescent="0.25">
      <c r="A16" s="59"/>
      <c r="B16" s="56"/>
      <c r="C16" s="56"/>
      <c r="D16" s="56"/>
      <c r="E16" s="56"/>
      <c r="F16" s="56"/>
      <c r="G16" s="56"/>
      <c r="H16" s="3"/>
      <c r="I16" s="3"/>
      <c r="J16" s="3"/>
      <c r="K16" s="3"/>
      <c r="L16" s="56"/>
      <c r="M16" s="3"/>
      <c r="N16" s="3"/>
      <c r="O16" s="3"/>
      <c r="P16" s="3"/>
      <c r="Q16" s="56"/>
      <c r="R16" s="56"/>
      <c r="S16" s="56"/>
      <c r="T16" s="56"/>
      <c r="U16" s="56"/>
      <c r="V16" s="56"/>
    </row>
    <row r="17" spans="1:22" x14ac:dyDescent="0.25">
      <c r="A17" s="59"/>
      <c r="B17" s="56"/>
      <c r="C17" s="56"/>
      <c r="D17" s="56"/>
      <c r="E17" s="56"/>
      <c r="F17" s="56"/>
      <c r="G17" s="56"/>
      <c r="H17" s="3"/>
      <c r="I17" s="3"/>
      <c r="J17" s="3"/>
      <c r="K17" s="3"/>
      <c r="L17" s="56"/>
      <c r="M17" s="3"/>
      <c r="N17" s="3"/>
      <c r="O17" s="3"/>
      <c r="P17" s="3"/>
      <c r="Q17" s="56"/>
      <c r="R17" s="56"/>
      <c r="S17" s="56"/>
      <c r="T17" s="56"/>
      <c r="U17" s="56"/>
      <c r="V17" s="56"/>
    </row>
    <row r="18" spans="1:22" x14ac:dyDescent="0.25">
      <c r="A18" s="59"/>
      <c r="B18" s="56"/>
      <c r="C18" s="56"/>
      <c r="D18" s="56"/>
      <c r="E18" s="56"/>
      <c r="F18" s="56"/>
      <c r="G18" s="56"/>
      <c r="H18" s="3"/>
      <c r="I18" s="3"/>
      <c r="J18" s="3"/>
      <c r="K18" s="3"/>
      <c r="L18" s="56"/>
      <c r="M18" s="3"/>
      <c r="N18" s="3"/>
      <c r="O18" s="3"/>
      <c r="P18" s="3"/>
      <c r="Q18" s="56"/>
      <c r="R18" s="56"/>
      <c r="S18" s="56"/>
      <c r="T18" s="56"/>
      <c r="U18" s="56"/>
      <c r="V18" s="56"/>
    </row>
    <row r="21" spans="1:22" x14ac:dyDescent="0.25">
      <c r="C21" s="2"/>
      <c r="D21" s="2"/>
      <c r="F21" s="3"/>
      <c r="G21" s="3"/>
      <c r="J21" s="2"/>
      <c r="K21" s="2"/>
      <c r="P21" s="3"/>
      <c r="Q21" s="3"/>
    </row>
    <row r="22" spans="1:22" x14ac:dyDescent="0.25">
      <c r="C22" s="2"/>
      <c r="D22" s="2"/>
      <c r="F22" s="3"/>
      <c r="G22" s="3"/>
      <c r="J22" s="2"/>
      <c r="K22" s="2"/>
      <c r="P22" s="3"/>
      <c r="Q22" s="3"/>
    </row>
    <row r="23" spans="1:22" x14ac:dyDescent="0.25">
      <c r="C23" s="2"/>
      <c r="D23" s="2"/>
      <c r="F23" s="3"/>
      <c r="G23" s="3"/>
      <c r="P23" s="3"/>
      <c r="Q23" s="3"/>
    </row>
    <row r="24" spans="1:22" x14ac:dyDescent="0.25">
      <c r="C24" s="2"/>
      <c r="D24" s="2"/>
      <c r="F24" s="3"/>
      <c r="G24" s="3"/>
      <c r="P24" s="3"/>
      <c r="Q24" s="3"/>
    </row>
    <row r="25" spans="1:22" x14ac:dyDescent="0.25">
      <c r="C25" s="2"/>
      <c r="D25" s="2"/>
      <c r="F25" s="3"/>
      <c r="G25" s="3"/>
      <c r="H25" t="s">
        <v>1</v>
      </c>
      <c r="P25" s="3"/>
      <c r="Q25" s="3"/>
    </row>
    <row r="26" spans="1:22" x14ac:dyDescent="0.25">
      <c r="C26" s="2"/>
      <c r="D26" s="2"/>
      <c r="F26" s="3"/>
      <c r="G26" s="3"/>
      <c r="H26" t="s">
        <v>2</v>
      </c>
      <c r="P26" s="3"/>
      <c r="Q26" s="3"/>
    </row>
    <row r="27" spans="1:22" x14ac:dyDescent="0.25">
      <c r="C27" s="2"/>
      <c r="D27" s="2"/>
      <c r="F27" s="3"/>
      <c r="G27" s="3"/>
      <c r="H27" t="s">
        <v>3</v>
      </c>
      <c r="P27" s="3"/>
      <c r="Q27" s="3"/>
    </row>
    <row r="28" spans="1:22" x14ac:dyDescent="0.25">
      <c r="C28" s="2"/>
      <c r="D28" s="2"/>
      <c r="F28" s="3"/>
      <c r="G28" s="3"/>
      <c r="H28" t="s">
        <v>4</v>
      </c>
      <c r="P28" s="3"/>
      <c r="Q28" s="3"/>
    </row>
    <row r="29" spans="1:22" x14ac:dyDescent="0.25">
      <c r="C29" s="2"/>
      <c r="D29" s="2"/>
      <c r="F29" s="3"/>
      <c r="G29" s="3"/>
      <c r="H29" t="s">
        <v>5</v>
      </c>
    </row>
    <row r="30" spans="1:22" x14ac:dyDescent="0.25">
      <c r="C30" s="2"/>
      <c r="D30" s="2"/>
      <c r="F30" s="3"/>
      <c r="G30" s="3"/>
      <c r="H30" t="s">
        <v>6</v>
      </c>
    </row>
    <row r="31" spans="1:22" x14ac:dyDescent="0.25">
      <c r="C31" s="2"/>
      <c r="D31" s="2"/>
      <c r="F31" s="3"/>
      <c r="G31" s="3"/>
      <c r="H31" t="s">
        <v>7</v>
      </c>
    </row>
    <row r="32" spans="1:22" x14ac:dyDescent="0.25">
      <c r="C32" s="2"/>
      <c r="D32" s="2"/>
      <c r="F32" s="3"/>
      <c r="G32" s="3"/>
      <c r="H32" t="s">
        <v>8</v>
      </c>
    </row>
    <row r="33" spans="3:8" x14ac:dyDescent="0.25">
      <c r="C33" s="2"/>
      <c r="D33" s="2"/>
      <c r="F33" s="3"/>
      <c r="G33" s="3"/>
      <c r="H33" t="s">
        <v>9</v>
      </c>
    </row>
    <row r="34" spans="3:8" x14ac:dyDescent="0.25">
      <c r="C34" s="2"/>
      <c r="D34" s="2"/>
      <c r="F34" s="3"/>
      <c r="G34" s="3"/>
      <c r="H34" t="s">
        <v>10</v>
      </c>
    </row>
    <row r="35" spans="3:8" x14ac:dyDescent="0.25">
      <c r="C35" s="2"/>
      <c r="D35" s="2"/>
      <c r="F35" s="3"/>
      <c r="G35" s="3"/>
      <c r="H35" t="s">
        <v>11</v>
      </c>
    </row>
    <row r="36" spans="3:8" x14ac:dyDescent="0.25">
      <c r="C36" s="2"/>
      <c r="D36" s="2"/>
      <c r="F36" s="3"/>
      <c r="G36" s="3"/>
      <c r="H36" t="s">
        <v>12</v>
      </c>
    </row>
    <row r="37" spans="3:8" x14ac:dyDescent="0.25">
      <c r="C37" s="2"/>
      <c r="D37" s="2"/>
    </row>
  </sheetData>
  <conditionalFormatting sqref="B8:B9 G9:V9 C8:V8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40"/>
  <sheetViews>
    <sheetView workbookViewId="0">
      <pane ySplit="2" topLeftCell="A3" activePane="bottomLeft" state="frozen"/>
      <selection pane="bottomLeft" activeCell="A20" sqref="A20:L33"/>
    </sheetView>
  </sheetViews>
  <sheetFormatPr baseColWidth="10" defaultRowHeight="15" x14ac:dyDescent="0.25"/>
  <cols>
    <col min="1" max="37" width="4.7109375" customWidth="1"/>
  </cols>
  <sheetData>
    <row r="1" spans="1:37" ht="15.75" thickBot="1" x14ac:dyDescent="0.3"/>
    <row r="2" spans="1:37" ht="34.5" thickBot="1" x14ac:dyDescent="0.3">
      <c r="A2" s="7" t="s">
        <v>17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</row>
    <row r="3" spans="1:37" ht="21" thickBot="1" x14ac:dyDescent="0.3">
      <c r="A3" s="10" t="s">
        <v>18</v>
      </c>
      <c r="B3" s="11"/>
      <c r="C3" s="11"/>
      <c r="D3" s="11"/>
      <c r="E3" s="11"/>
      <c r="F3" s="11"/>
      <c r="G3" s="12"/>
      <c r="H3" s="10" t="s">
        <v>4</v>
      </c>
      <c r="I3" s="11"/>
      <c r="J3" s="11"/>
      <c r="K3" s="11"/>
      <c r="L3" s="11"/>
      <c r="M3" s="13" t="s">
        <v>19</v>
      </c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5"/>
    </row>
    <row r="4" spans="1:37" x14ac:dyDescent="0.25">
      <c r="A4" s="16">
        <f>IFERROR(HLOOKUP(H3,Feuil1!B1:BN5,3,0),"Not Yet")</f>
        <v>0.87944337993678823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8"/>
      <c r="M4" s="25" t="e">
        <f>+#REF!</f>
        <v>#REF!</v>
      </c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7"/>
    </row>
    <row r="5" spans="1:37" x14ac:dyDescent="0.25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1"/>
      <c r="M5" s="28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30"/>
    </row>
    <row r="6" spans="1:37" x14ac:dyDescent="0.25">
      <c r="A6" s="19"/>
      <c r="B6" s="20"/>
      <c r="C6" s="20"/>
      <c r="D6" s="20"/>
      <c r="E6" s="20"/>
      <c r="F6" s="20"/>
      <c r="G6" s="20"/>
      <c r="H6" s="20"/>
      <c r="I6" s="20"/>
      <c r="J6" s="20"/>
      <c r="K6" s="20"/>
      <c r="L6" s="21"/>
      <c r="M6" s="28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30"/>
    </row>
    <row r="7" spans="1:37" x14ac:dyDescent="0.25">
      <c r="A7" s="19"/>
      <c r="B7" s="20"/>
      <c r="C7" s="20"/>
      <c r="D7" s="20"/>
      <c r="E7" s="20"/>
      <c r="F7" s="20"/>
      <c r="G7" s="20"/>
      <c r="H7" s="20"/>
      <c r="I7" s="20"/>
      <c r="J7" s="20"/>
      <c r="K7" s="20"/>
      <c r="L7" s="21"/>
      <c r="M7" s="28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0"/>
    </row>
    <row r="8" spans="1:37" x14ac:dyDescent="0.2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1"/>
      <c r="M8" s="28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0"/>
    </row>
    <row r="9" spans="1:37" x14ac:dyDescent="0.25">
      <c r="A9" s="19"/>
      <c r="B9" s="20"/>
      <c r="C9" s="20"/>
      <c r="D9" s="20"/>
      <c r="E9" s="20"/>
      <c r="F9" s="20"/>
      <c r="G9" s="20"/>
      <c r="H9" s="20"/>
      <c r="I9" s="20"/>
      <c r="J9" s="20"/>
      <c r="K9" s="20"/>
      <c r="L9" s="21"/>
      <c r="M9" s="28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30"/>
    </row>
    <row r="10" spans="1:37" x14ac:dyDescent="0.25">
      <c r="A10" s="19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1"/>
      <c r="M10" s="28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0"/>
    </row>
    <row r="11" spans="1:37" x14ac:dyDescent="0.25">
      <c r="A11" s="19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1"/>
      <c r="M11" s="28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0"/>
    </row>
    <row r="12" spans="1:37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1"/>
      <c r="M12" s="28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30"/>
    </row>
    <row r="13" spans="1:37" x14ac:dyDescent="0.25">
      <c r="A13" s="1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1"/>
      <c r="M13" s="28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0"/>
    </row>
    <row r="14" spans="1:37" x14ac:dyDescent="0.25">
      <c r="A14" s="1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1"/>
      <c r="M14" s="28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30"/>
    </row>
    <row r="15" spans="1:37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1"/>
      <c r="M15" s="28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30"/>
    </row>
    <row r="16" spans="1:37" x14ac:dyDescent="0.25">
      <c r="A16" s="1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1"/>
      <c r="M16" s="28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0"/>
    </row>
    <row r="17" spans="1:37" x14ac:dyDescent="0.25">
      <c r="A17" s="1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1"/>
      <c r="M17" s="28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0"/>
    </row>
    <row r="18" spans="1:37" ht="15.75" thickBot="1" x14ac:dyDescent="0.3">
      <c r="A18" s="22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4"/>
      <c r="M18" s="31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3"/>
    </row>
    <row r="19" spans="1:37" ht="21" thickBot="1" x14ac:dyDescent="0.3">
      <c r="A19" s="4" t="s">
        <v>20</v>
      </c>
      <c r="B19" s="5"/>
      <c r="C19" s="5"/>
      <c r="D19" s="5"/>
      <c r="E19" s="5"/>
      <c r="F19" s="5"/>
      <c r="G19" s="6"/>
      <c r="H19" s="4" t="s">
        <v>2</v>
      </c>
      <c r="I19" s="5"/>
      <c r="J19" s="5"/>
      <c r="K19" s="5"/>
      <c r="L19" s="6"/>
      <c r="M19" s="34" t="e">
        <f>+#REF!</f>
        <v>#REF!</v>
      </c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6"/>
    </row>
    <row r="20" spans="1:37" ht="15" customHeight="1" x14ac:dyDescent="0.25">
      <c r="A20" s="43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5"/>
      <c r="M20" s="37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9"/>
    </row>
    <row r="21" spans="1:37" ht="15" customHeight="1" x14ac:dyDescent="0.25">
      <c r="A21" s="46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8"/>
      <c r="M21" s="37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9"/>
    </row>
    <row r="22" spans="1:37" ht="15" customHeight="1" x14ac:dyDescent="0.25">
      <c r="A22" s="46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8"/>
      <c r="M22" s="37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9"/>
    </row>
    <row r="23" spans="1:37" ht="15" customHeight="1" x14ac:dyDescent="0.25">
      <c r="A23" s="46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8"/>
      <c r="M23" s="37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9"/>
    </row>
    <row r="24" spans="1:37" ht="15" customHeight="1" x14ac:dyDescent="0.25">
      <c r="A24" s="46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8"/>
      <c r="M24" s="37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9"/>
    </row>
    <row r="25" spans="1:37" ht="15" customHeight="1" x14ac:dyDescent="0.25">
      <c r="A25" s="46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8"/>
      <c r="M25" s="37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9"/>
    </row>
    <row r="26" spans="1:37" ht="15" customHeight="1" x14ac:dyDescent="0.25">
      <c r="A26" s="46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8"/>
      <c r="M26" s="37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9"/>
    </row>
    <row r="27" spans="1:37" ht="15" customHeight="1" x14ac:dyDescent="0.25">
      <c r="A27" s="46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8"/>
      <c r="M27" s="37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9"/>
    </row>
    <row r="28" spans="1:37" ht="15" customHeight="1" x14ac:dyDescent="0.25">
      <c r="A28" s="46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8"/>
      <c r="M28" s="37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9"/>
    </row>
    <row r="29" spans="1:37" ht="15" customHeight="1" x14ac:dyDescent="0.25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8"/>
      <c r="M29" s="37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9"/>
    </row>
    <row r="30" spans="1:37" ht="15" customHeight="1" x14ac:dyDescent="0.25">
      <c r="A30" s="46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8"/>
      <c r="M30" s="37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9"/>
    </row>
    <row r="31" spans="1:37" ht="15" customHeight="1" x14ac:dyDescent="0.25">
      <c r="A31" s="46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8"/>
      <c r="M31" s="37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9"/>
    </row>
    <row r="32" spans="1:37" ht="15" customHeight="1" x14ac:dyDescent="0.25">
      <c r="A32" s="46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8"/>
      <c r="M32" s="37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9"/>
    </row>
    <row r="33" spans="1:37" ht="15.75" customHeight="1" thickBot="1" x14ac:dyDescent="0.3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1"/>
      <c r="M33" s="40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2"/>
    </row>
    <row r="37" spans="1:37" x14ac:dyDescent="0.25">
      <c r="G37" s="3"/>
    </row>
    <row r="38" spans="1:37" x14ac:dyDescent="0.25">
      <c r="G38" s="3"/>
    </row>
    <row r="39" spans="1:37" x14ac:dyDescent="0.25">
      <c r="G39" s="3"/>
    </row>
    <row r="40" spans="1:37" x14ac:dyDescent="0.25">
      <c r="G40" s="3"/>
    </row>
  </sheetData>
  <mergeCells count="10">
    <mergeCell ref="A19:G19"/>
    <mergeCell ref="H19:L19"/>
    <mergeCell ref="A2:AK2"/>
    <mergeCell ref="A3:G3"/>
    <mergeCell ref="H3:L3"/>
    <mergeCell ref="M3:AK3"/>
    <mergeCell ref="A4:L18"/>
    <mergeCell ref="M4:AK18"/>
    <mergeCell ref="M19:AK33"/>
    <mergeCell ref="A20:L33"/>
  </mergeCells>
  <dataValidations count="1">
    <dataValidation type="list" allowBlank="1" showInputMessage="1" showErrorMessage="1" sqref="H3:L3 H19:L19">
      <formula1>mois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Feuil1!$H$25:$H$36</xm:f>
          </x14:formula1>
          <xm:sqref>H3:L3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mois</vt:lpstr>
      <vt:lpstr>Objectif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2014-05-24T21:06:57Z</dcterms:created>
  <dcterms:modified xsi:type="dcterms:W3CDTF">2014-06-01T15:55:47Z</dcterms:modified>
</cp:coreProperties>
</file>