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10095" firstSheet="45" activeTab="53"/>
  </bookViews>
  <sheets>
    <sheet name="Sem01" sheetId="1" r:id="rId1"/>
    <sheet name="Sem 02" sheetId="111" r:id="rId2"/>
    <sheet name="Sem 03" sheetId="112" r:id="rId3"/>
    <sheet name="Sem 04" sheetId="113" r:id="rId4"/>
    <sheet name="Sem 05" sheetId="114" r:id="rId5"/>
    <sheet name="Sem 06" sheetId="115" r:id="rId6"/>
    <sheet name="Sem 07" sheetId="116" r:id="rId7"/>
    <sheet name="Sem 08" sheetId="117" r:id="rId8"/>
    <sheet name="Sem 09" sheetId="118" r:id="rId9"/>
    <sheet name="Sem 10" sheetId="119" r:id="rId10"/>
    <sheet name="Sem 11" sheetId="120" r:id="rId11"/>
    <sheet name="Sem 12" sheetId="121" r:id="rId12"/>
    <sheet name="Sem 13" sheetId="122" r:id="rId13"/>
    <sheet name="Sem 14" sheetId="123" r:id="rId14"/>
    <sheet name="Sem 15" sheetId="124" r:id="rId15"/>
    <sheet name="Sem 16" sheetId="125" r:id="rId16"/>
    <sheet name="Sem 17" sheetId="126" r:id="rId17"/>
    <sheet name="Sem 18" sheetId="127" r:id="rId18"/>
    <sheet name="FRAIS" sheetId="164" r:id="rId19"/>
    <sheet name="Nouv FRAIS" sheetId="165" r:id="rId20"/>
    <sheet name="Sem 19" sheetId="128" r:id="rId21"/>
    <sheet name="Sem 20" sheetId="129" r:id="rId22"/>
    <sheet name="Sem 21" sheetId="130" r:id="rId23"/>
    <sheet name="Sem 22" sheetId="131" r:id="rId24"/>
    <sheet name="Sem 23" sheetId="132" r:id="rId25"/>
    <sheet name="Sem 24" sheetId="133" r:id="rId26"/>
    <sheet name="Sem 25" sheetId="134" r:id="rId27"/>
    <sheet name="Sem 26" sheetId="135" r:id="rId28"/>
    <sheet name="Sem 27" sheetId="136" r:id="rId29"/>
    <sheet name="Sem 28" sheetId="137" r:id="rId30"/>
    <sheet name="Sem 29" sheetId="138" r:id="rId31"/>
    <sheet name="Sem 30" sheetId="139" r:id="rId32"/>
    <sheet name="Sem 31" sheetId="140" r:id="rId33"/>
    <sheet name="Sem 32" sheetId="141" r:id="rId34"/>
    <sheet name="Sem 33" sheetId="142" r:id="rId35"/>
    <sheet name="Sem 34" sheetId="143" r:id="rId36"/>
    <sheet name="Sem 35" sheetId="144" r:id="rId37"/>
    <sheet name="Sem 36" sheetId="145" r:id="rId38"/>
    <sheet name="Sem 37" sheetId="146" r:id="rId39"/>
    <sheet name="Sem 38" sheetId="147" r:id="rId40"/>
    <sheet name="Sem 39" sheetId="148" r:id="rId41"/>
    <sheet name="Sem 40" sheetId="149" r:id="rId42"/>
    <sheet name="Sem 41" sheetId="150" r:id="rId43"/>
    <sheet name="Sem 42" sheetId="151" r:id="rId44"/>
    <sheet name="Sem 43" sheetId="152" r:id="rId45"/>
    <sheet name="Sem 44" sheetId="153" r:id="rId46"/>
    <sheet name="Sem 45" sheetId="154" r:id="rId47"/>
    <sheet name="Sem 46" sheetId="155" r:id="rId48"/>
    <sheet name="Sem 47" sheetId="156" r:id="rId49"/>
    <sheet name="Sem 48" sheetId="157" r:id="rId50"/>
    <sheet name="Sem 49" sheetId="158" r:id="rId51"/>
    <sheet name="Sem 50" sheetId="159" r:id="rId52"/>
    <sheet name="Sem 51" sheetId="160" r:id="rId53"/>
    <sheet name="Sem 52" sheetId="161" r:id="rId54"/>
    <sheet name="Totaux" sheetId="57" r:id="rId55"/>
    <sheet name="Classement" sheetId="58" r:id="rId56"/>
    <sheet name="Comparaison" sheetId="162" r:id="rId57"/>
    <sheet name="Semaine" sheetId="163" r:id="rId58"/>
  </sheets>
  <externalReferences>
    <externalReference r:id="rId59"/>
  </externalReferences>
  <definedNames>
    <definedName name="_xlnm.Print_Area" localSheetId="16">'Sem 17'!$A$1:$P$85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161" l="1"/>
  <c r="Q33" i="161"/>
  <c r="Q35" i="161"/>
  <c r="Q32" i="161"/>
  <c r="BA3" i="57"/>
  <c r="BA5" i="57"/>
  <c r="BA6" i="57"/>
  <c r="BA8" i="57"/>
  <c r="BA9" i="57"/>
  <c r="BA10" i="57"/>
  <c r="BA11" i="57"/>
  <c r="BA12" i="57"/>
  <c r="BA16" i="57"/>
  <c r="BA17" i="57"/>
  <c r="BA18" i="57"/>
  <c r="BA19" i="57"/>
  <c r="BA20" i="57"/>
  <c r="BA21" i="57"/>
  <c r="BA24" i="57"/>
  <c r="BA25" i="57"/>
  <c r="BA26" i="57"/>
  <c r="BA27" i="57"/>
  <c r="BA28" i="57"/>
  <c r="B57" i="161"/>
  <c r="Q48" i="161"/>
  <c r="Q49" i="161" s="1"/>
  <c r="B44" i="161" s="1"/>
  <c r="Q36" i="161" l="1"/>
  <c r="Q50" i="161"/>
  <c r="AZ3" i="57"/>
  <c r="AZ4" i="57"/>
  <c r="AZ5" i="57"/>
  <c r="AZ6" i="57"/>
  <c r="AZ7" i="57"/>
  <c r="AZ8" i="57"/>
  <c r="AZ9" i="57"/>
  <c r="AZ10" i="57"/>
  <c r="AZ11" i="57"/>
  <c r="AZ12" i="57"/>
  <c r="AZ13" i="57"/>
  <c r="AZ14" i="57"/>
  <c r="AZ15" i="57"/>
  <c r="AZ16" i="57"/>
  <c r="AZ17" i="57"/>
  <c r="AZ18" i="57"/>
  <c r="AZ19" i="57"/>
  <c r="AZ20" i="57"/>
  <c r="AZ21" i="57"/>
  <c r="AZ24" i="57"/>
  <c r="AZ25" i="57"/>
  <c r="AZ26" i="57"/>
  <c r="AZ2" i="57"/>
  <c r="B57" i="160" l="1"/>
  <c r="AZ27" i="57" l="1"/>
  <c r="N33" i="160"/>
  <c r="J33" i="160"/>
  <c r="N33" i="159"/>
  <c r="N35" i="159"/>
  <c r="N32" i="159"/>
  <c r="J33" i="159"/>
  <c r="J35" i="159"/>
  <c r="J32" i="159"/>
  <c r="F42" i="160"/>
  <c r="F41" i="160"/>
  <c r="F40" i="160"/>
  <c r="F39" i="160"/>
  <c r="J7" i="160" l="1"/>
  <c r="H4" i="160"/>
  <c r="E16" i="160"/>
  <c r="E15" i="160"/>
  <c r="Q48" i="160" l="1"/>
  <c r="Q49" i="160" s="1"/>
  <c r="B44" i="160" s="1"/>
  <c r="Q50" i="160" l="1"/>
  <c r="AY3" i="57"/>
  <c r="AY4" i="57"/>
  <c r="AY5" i="57"/>
  <c r="AY6" i="57"/>
  <c r="AY7" i="57"/>
  <c r="AY8" i="57"/>
  <c r="AY9" i="57"/>
  <c r="AY10" i="57"/>
  <c r="AY11" i="57"/>
  <c r="AY12" i="57"/>
  <c r="AY13" i="57"/>
  <c r="AY14" i="57"/>
  <c r="AY15" i="57"/>
  <c r="AY16" i="57"/>
  <c r="AY17" i="57"/>
  <c r="AY18" i="57"/>
  <c r="AY19" i="57"/>
  <c r="AY20" i="57"/>
  <c r="AY21" i="57"/>
  <c r="AY24" i="57"/>
  <c r="AY25" i="57"/>
  <c r="AY26" i="57"/>
  <c r="AY27" i="57"/>
  <c r="AY28" i="57"/>
  <c r="AY29" i="57"/>
  <c r="AY30" i="57"/>
  <c r="AY31" i="57"/>
  <c r="AY32" i="57"/>
  <c r="AY33" i="57"/>
  <c r="AY34" i="57"/>
  <c r="AY2" i="57"/>
  <c r="J18" i="159" l="1"/>
  <c r="J7" i="159"/>
  <c r="H4" i="159"/>
  <c r="B57" i="159"/>
  <c r="B57" i="158" l="1"/>
  <c r="AX3" i="57" l="1"/>
  <c r="AX4" i="57"/>
  <c r="AX5" i="57"/>
  <c r="AX6" i="57"/>
  <c r="AX7" i="57"/>
  <c r="AX8" i="57"/>
  <c r="AX9" i="57"/>
  <c r="AX10" i="57"/>
  <c r="AX11" i="57"/>
  <c r="AX12" i="57"/>
  <c r="AX13" i="57"/>
  <c r="AX14" i="57"/>
  <c r="AX15" i="57"/>
  <c r="AX16" i="57"/>
  <c r="AX17" i="57"/>
  <c r="AX18" i="57"/>
  <c r="AX19" i="57"/>
  <c r="AX20" i="57"/>
  <c r="AX21" i="57"/>
  <c r="AX24" i="57"/>
  <c r="AX25" i="57"/>
  <c r="AX26" i="57"/>
  <c r="AX27" i="57"/>
  <c r="AX28" i="57"/>
  <c r="AX29" i="57"/>
  <c r="AX30" i="57"/>
  <c r="AX31" i="57"/>
  <c r="AX32" i="57"/>
  <c r="AX33" i="57"/>
  <c r="AX34" i="57"/>
  <c r="AX2" i="57"/>
  <c r="J50" i="158"/>
  <c r="N33" i="158"/>
  <c r="N34" i="158"/>
  <c r="N35" i="158"/>
  <c r="N32" i="158"/>
  <c r="J33" i="158"/>
  <c r="J35" i="158"/>
  <c r="J32" i="158"/>
  <c r="J18" i="158"/>
  <c r="J7" i="158"/>
  <c r="H4" i="158"/>
  <c r="H9" i="158"/>
  <c r="B59" i="158" l="1"/>
  <c r="B59" i="159"/>
  <c r="B59" i="160"/>
  <c r="B59" i="161"/>
  <c r="B59" i="157"/>
  <c r="AW3" i="57"/>
  <c r="AW4" i="57"/>
  <c r="AW5" i="57"/>
  <c r="AW6" i="57"/>
  <c r="AW7" i="57"/>
  <c r="AW8" i="57"/>
  <c r="AW9" i="57"/>
  <c r="AW10" i="57"/>
  <c r="AW11" i="57"/>
  <c r="AW12" i="57"/>
  <c r="AW13" i="57"/>
  <c r="AW14" i="57"/>
  <c r="AW15" i="57"/>
  <c r="AW16" i="57"/>
  <c r="AW17" i="57"/>
  <c r="AW18" i="57"/>
  <c r="AW19" i="57"/>
  <c r="AW20" i="57"/>
  <c r="AW21" i="57"/>
  <c r="AW24" i="57"/>
  <c r="AW25" i="57"/>
  <c r="AW26" i="57"/>
  <c r="AW27" i="57"/>
  <c r="AW28" i="57"/>
  <c r="AW29" i="57"/>
  <c r="AW30" i="57"/>
  <c r="AW31" i="57"/>
  <c r="AW32" i="57"/>
  <c r="AW33" i="57"/>
  <c r="AW34" i="57"/>
  <c r="AW2" i="57"/>
  <c r="E24" i="163" l="1"/>
  <c r="B57" i="157"/>
  <c r="B29" i="58" l="1"/>
  <c r="J18" i="157"/>
  <c r="J7" i="157"/>
  <c r="H4" i="157"/>
  <c r="N34" i="157"/>
  <c r="J34" i="157"/>
  <c r="B59" i="156" l="1"/>
  <c r="B57" i="156"/>
  <c r="AV3" i="57" l="1"/>
  <c r="AV4" i="57"/>
  <c r="AV5" i="57"/>
  <c r="AV6" i="57"/>
  <c r="AV7" i="57"/>
  <c r="AV8" i="57"/>
  <c r="AV9" i="57"/>
  <c r="AV10" i="57"/>
  <c r="AV11" i="57"/>
  <c r="AV12" i="57"/>
  <c r="AV13" i="57"/>
  <c r="AV14" i="57"/>
  <c r="AV15" i="57"/>
  <c r="AV16" i="57"/>
  <c r="AV17" i="57"/>
  <c r="AV18" i="57"/>
  <c r="AV19" i="57"/>
  <c r="AV20" i="57"/>
  <c r="AV21" i="57"/>
  <c r="AV24" i="57"/>
  <c r="AV25" i="57"/>
  <c r="AV26" i="57"/>
  <c r="AV27" i="57"/>
  <c r="AV28" i="57"/>
  <c r="AV29" i="57"/>
  <c r="AV30" i="57"/>
  <c r="AV31" i="57"/>
  <c r="AV32" i="57"/>
  <c r="AV33" i="57"/>
  <c r="AV34" i="57"/>
  <c r="AV2" i="57"/>
  <c r="F45" i="156"/>
  <c r="F42" i="156"/>
  <c r="F43" i="156"/>
  <c r="F44" i="156"/>
  <c r="F41" i="156"/>
  <c r="K14" i="156"/>
  <c r="J14" i="156"/>
  <c r="J7" i="156"/>
  <c r="J18" i="156"/>
  <c r="H4" i="156"/>
  <c r="C16" i="163" l="1"/>
  <c r="E2" i="163"/>
  <c r="B59" i="155"/>
  <c r="AU3" i="57"/>
  <c r="AU4" i="57"/>
  <c r="AU5" i="57"/>
  <c r="AU6" i="57"/>
  <c r="AU7" i="57"/>
  <c r="AU8" i="57"/>
  <c r="AU9" i="57"/>
  <c r="AU10" i="57"/>
  <c r="AU11" i="57"/>
  <c r="AU12" i="57"/>
  <c r="AU13" i="57"/>
  <c r="AU14" i="57"/>
  <c r="AU15" i="57"/>
  <c r="AU16" i="57"/>
  <c r="AU17" i="57"/>
  <c r="AU18" i="57"/>
  <c r="AU19" i="57"/>
  <c r="AU20" i="57"/>
  <c r="AU21" i="57"/>
  <c r="AU24" i="57"/>
  <c r="AU25" i="57"/>
  <c r="AU26" i="57"/>
  <c r="AU27" i="57"/>
  <c r="AU28" i="57"/>
  <c r="AU29" i="57"/>
  <c r="AU30" i="57"/>
  <c r="AU31" i="57"/>
  <c r="AU32" i="57"/>
  <c r="AU33" i="57"/>
  <c r="AU34" i="57"/>
  <c r="AU2" i="57"/>
  <c r="N33" i="155"/>
  <c r="N34" i="155"/>
  <c r="N35" i="155"/>
  <c r="N32" i="155"/>
  <c r="J33" i="155"/>
  <c r="J34" i="155"/>
  <c r="J35" i="155"/>
  <c r="J32" i="155"/>
  <c r="J18" i="155"/>
  <c r="J7" i="155"/>
  <c r="H4" i="155"/>
  <c r="E16" i="155"/>
  <c r="B59" i="154" l="1"/>
  <c r="B57" i="153"/>
  <c r="N33" i="154"/>
  <c r="N34" i="154"/>
  <c r="N35" i="154"/>
  <c r="N32" i="154"/>
  <c r="BB3" i="57"/>
  <c r="BB5" i="57"/>
  <c r="BB6" i="57"/>
  <c r="BB8" i="57"/>
  <c r="BB9" i="57"/>
  <c r="BB10" i="57"/>
  <c r="BB12" i="57"/>
  <c r="BB16" i="57"/>
  <c r="BB17" i="57"/>
  <c r="BB18" i="57"/>
  <c r="BB19" i="57"/>
  <c r="BB20" i="57"/>
  <c r="BB21" i="57"/>
  <c r="BB22" i="57"/>
  <c r="BB23" i="57"/>
  <c r="BB24" i="57"/>
  <c r="BB25" i="57"/>
  <c r="BB26" i="57"/>
  <c r="BB27" i="57"/>
  <c r="BB28" i="57"/>
  <c r="BB29" i="57"/>
  <c r="BB30" i="57"/>
  <c r="BB31" i="57"/>
  <c r="BB32" i="57"/>
  <c r="BB33" i="57"/>
  <c r="BB34" i="57"/>
  <c r="BB35" i="57"/>
  <c r="AT3" i="57"/>
  <c r="AT4" i="57"/>
  <c r="AT5" i="57"/>
  <c r="AT6" i="57"/>
  <c r="AT7" i="57"/>
  <c r="AT8" i="57"/>
  <c r="AT9" i="57"/>
  <c r="AT10" i="57"/>
  <c r="AT11" i="57"/>
  <c r="AT12" i="57"/>
  <c r="AT13" i="57"/>
  <c r="AT14" i="57"/>
  <c r="AT15" i="57"/>
  <c r="AT16" i="57"/>
  <c r="AT17" i="57"/>
  <c r="AT18" i="57"/>
  <c r="AT19" i="57"/>
  <c r="AT20" i="57"/>
  <c r="AT21" i="57"/>
  <c r="AT24" i="57"/>
  <c r="AT25" i="57"/>
  <c r="AT26" i="57"/>
  <c r="AT27" i="57"/>
  <c r="AT28" i="57"/>
  <c r="AT29" i="57"/>
  <c r="AT30" i="57"/>
  <c r="AT31" i="57"/>
  <c r="AT32" i="57"/>
  <c r="AT33" i="57"/>
  <c r="AT34" i="57"/>
  <c r="AT2" i="57"/>
  <c r="J18" i="154"/>
  <c r="H4" i="154"/>
  <c r="I9" i="154"/>
  <c r="H16" i="154"/>
  <c r="B18" i="154"/>
  <c r="H24" i="154"/>
  <c r="AS3" i="57" l="1"/>
  <c r="AS4" i="57"/>
  <c r="AS5" i="57"/>
  <c r="AS6" i="57"/>
  <c r="AS7" i="57"/>
  <c r="AS8" i="57"/>
  <c r="AS9" i="57"/>
  <c r="AS10" i="57"/>
  <c r="AS11" i="57"/>
  <c r="AS12" i="57"/>
  <c r="AS13" i="57"/>
  <c r="AS14" i="57"/>
  <c r="AS15" i="57"/>
  <c r="AS16" i="57"/>
  <c r="AS17" i="57"/>
  <c r="AS18" i="57"/>
  <c r="AS19" i="57"/>
  <c r="AS20" i="57"/>
  <c r="AS21" i="57"/>
  <c r="AS24" i="57"/>
  <c r="AS25" i="57"/>
  <c r="AS26" i="57"/>
  <c r="AS27" i="57"/>
  <c r="AS28" i="57"/>
  <c r="AS29" i="57"/>
  <c r="AS30" i="57"/>
  <c r="AS31" i="57"/>
  <c r="AS32" i="57"/>
  <c r="AS33" i="57"/>
  <c r="AS34" i="57"/>
  <c r="AS2" i="57"/>
  <c r="J14" i="153"/>
  <c r="J4" i="153"/>
  <c r="E15" i="153"/>
  <c r="D6" i="153"/>
  <c r="D4" i="153"/>
  <c r="B7" i="153"/>
  <c r="B18" i="153"/>
  <c r="N34" i="153" l="1"/>
  <c r="J34" i="153"/>
  <c r="AR3" i="57"/>
  <c r="AR4" i="57"/>
  <c r="AR5" i="57"/>
  <c r="AR6" i="57"/>
  <c r="AR7" i="57"/>
  <c r="AR8" i="57"/>
  <c r="AR9" i="57"/>
  <c r="AR10" i="57"/>
  <c r="AR11" i="57"/>
  <c r="AR12" i="57"/>
  <c r="AR13" i="57"/>
  <c r="AR14" i="57"/>
  <c r="AR15" i="57"/>
  <c r="AR16" i="57"/>
  <c r="AR17" i="57"/>
  <c r="AR18" i="57"/>
  <c r="AR19" i="57"/>
  <c r="AR20" i="57"/>
  <c r="AR21" i="57"/>
  <c r="AR24" i="57"/>
  <c r="AR25" i="57"/>
  <c r="AR26" i="57"/>
  <c r="AR27" i="57"/>
  <c r="AR28" i="57"/>
  <c r="AR29" i="57"/>
  <c r="AR30" i="57"/>
  <c r="AR31" i="57"/>
  <c r="AR32" i="57"/>
  <c r="AR33" i="57"/>
  <c r="AR34" i="57"/>
  <c r="AR2" i="57"/>
  <c r="B59" i="152"/>
  <c r="B57" i="152"/>
  <c r="B54" i="152" l="1"/>
  <c r="H4" i="152"/>
  <c r="N34" i="152" l="1"/>
  <c r="J34" i="152"/>
  <c r="J33" i="151"/>
  <c r="J34" i="151"/>
  <c r="J35" i="151"/>
  <c r="J32" i="151"/>
  <c r="Q34" i="152"/>
  <c r="J50" i="151" l="1"/>
  <c r="AQ3" i="57"/>
  <c r="AQ4" i="57"/>
  <c r="AQ5" i="57"/>
  <c r="AQ6" i="57"/>
  <c r="AQ7" i="57"/>
  <c r="AQ8" i="57"/>
  <c r="AQ9" i="57"/>
  <c r="AQ10" i="57"/>
  <c r="AQ11" i="57"/>
  <c r="AQ12" i="57"/>
  <c r="AQ13" i="57"/>
  <c r="AQ14" i="57"/>
  <c r="AQ15" i="57"/>
  <c r="AQ16" i="57"/>
  <c r="AQ17" i="57"/>
  <c r="AQ18" i="57"/>
  <c r="AQ19" i="57"/>
  <c r="AQ20" i="57"/>
  <c r="AQ21" i="57"/>
  <c r="AQ24" i="57"/>
  <c r="AQ25" i="57"/>
  <c r="AQ26" i="57"/>
  <c r="AQ27" i="57"/>
  <c r="AQ28" i="57"/>
  <c r="AQ29" i="57"/>
  <c r="AQ30" i="57"/>
  <c r="AQ31" i="57"/>
  <c r="AQ32" i="57"/>
  <c r="AQ33" i="57"/>
  <c r="AQ34" i="57"/>
  <c r="AQ2" i="57"/>
  <c r="F40" i="151"/>
  <c r="F39" i="151"/>
  <c r="F42" i="151"/>
  <c r="J18" i="151"/>
  <c r="J7" i="151"/>
  <c r="I4" i="151"/>
  <c r="H4" i="151"/>
  <c r="I6" i="151"/>
  <c r="F43" i="151" l="1"/>
  <c r="AP3" i="57"/>
  <c r="AP4" i="57"/>
  <c r="AP5" i="57"/>
  <c r="AP6" i="57"/>
  <c r="AP7" i="57"/>
  <c r="AP8" i="57"/>
  <c r="AP9" i="57"/>
  <c r="AP10" i="57"/>
  <c r="AP11" i="57"/>
  <c r="AP12" i="57"/>
  <c r="AP13" i="57"/>
  <c r="AP14" i="57"/>
  <c r="AP15" i="57"/>
  <c r="AP16" i="57"/>
  <c r="AP17" i="57"/>
  <c r="AP18" i="57"/>
  <c r="AP19" i="57"/>
  <c r="AP20" i="57"/>
  <c r="AP21" i="57"/>
  <c r="AP24" i="57"/>
  <c r="AP25" i="57"/>
  <c r="AP26" i="57"/>
  <c r="AP27" i="57"/>
  <c r="AP28" i="57"/>
  <c r="AP29" i="57"/>
  <c r="AP30" i="57"/>
  <c r="AP31" i="57"/>
  <c r="AP32" i="57"/>
  <c r="AP33" i="57"/>
  <c r="AP34" i="57"/>
  <c r="AP2" i="57"/>
  <c r="K18" i="150"/>
  <c r="J18" i="150"/>
  <c r="J7" i="150"/>
  <c r="H4" i="150"/>
  <c r="N56" i="149"/>
  <c r="N56" i="150"/>
  <c r="N57" i="149"/>
  <c r="G51" i="150"/>
  <c r="J34" i="150"/>
  <c r="B59" i="150" l="1"/>
  <c r="AO3" i="57" l="1"/>
  <c r="AO4" i="57"/>
  <c r="AO5" i="57"/>
  <c r="AO6" i="57"/>
  <c r="AO7" i="57"/>
  <c r="AO8" i="57"/>
  <c r="AO9" i="57"/>
  <c r="AO10" i="57"/>
  <c r="AO11" i="57"/>
  <c r="AO12" i="57"/>
  <c r="AO13" i="57"/>
  <c r="AO14" i="57"/>
  <c r="AO15" i="57"/>
  <c r="AO16" i="57"/>
  <c r="AO17" i="57"/>
  <c r="AO18" i="57"/>
  <c r="AO19" i="57"/>
  <c r="AO20" i="57"/>
  <c r="AO21" i="57"/>
  <c r="AO24" i="57"/>
  <c r="AO25" i="57"/>
  <c r="AO26" i="57"/>
  <c r="AO27" i="57"/>
  <c r="AO28" i="57"/>
  <c r="AO29" i="57"/>
  <c r="AO30" i="57"/>
  <c r="AO31" i="57"/>
  <c r="AO32" i="57"/>
  <c r="AO33" i="57"/>
  <c r="AO34" i="57"/>
  <c r="AO2" i="57"/>
  <c r="J18" i="149"/>
  <c r="J7" i="149"/>
  <c r="H4" i="149"/>
  <c r="F7" i="149" l="1"/>
  <c r="E15" i="149"/>
  <c r="S44" i="149" l="1"/>
  <c r="S45" i="149"/>
  <c r="T44" i="149" s="1"/>
  <c r="T46" i="149" s="1"/>
  <c r="R39" i="149"/>
  <c r="R34" i="149"/>
  <c r="Q34" i="149"/>
  <c r="B54" i="151"/>
  <c r="B54" i="153"/>
  <c r="B54" i="154"/>
  <c r="B54" i="155"/>
  <c r="B54" i="156"/>
  <c r="B54" i="157"/>
  <c r="B54" i="158"/>
  <c r="B54" i="159"/>
  <c r="B54" i="160"/>
  <c r="B54" i="161"/>
  <c r="B54" i="150"/>
  <c r="B54" i="149"/>
  <c r="AN3" i="57" l="1"/>
  <c r="AN4" i="57"/>
  <c r="AN5" i="57"/>
  <c r="AN6" i="57"/>
  <c r="AN7" i="57"/>
  <c r="AN8" i="57"/>
  <c r="AN9" i="57"/>
  <c r="AN10" i="57"/>
  <c r="AN11" i="57"/>
  <c r="AN12" i="57"/>
  <c r="AN13" i="57"/>
  <c r="AN14" i="57"/>
  <c r="AN15" i="57"/>
  <c r="AN16" i="57"/>
  <c r="AN17" i="57"/>
  <c r="AN18" i="57"/>
  <c r="AN19" i="57"/>
  <c r="AN20" i="57"/>
  <c r="AN21" i="57"/>
  <c r="AN24" i="57"/>
  <c r="AN25" i="57"/>
  <c r="AN26" i="57"/>
  <c r="AN27" i="57"/>
  <c r="AN28" i="57"/>
  <c r="AN29" i="57"/>
  <c r="AN30" i="57"/>
  <c r="AN31" i="57"/>
  <c r="AN32" i="57"/>
  <c r="AN33" i="57"/>
  <c r="AN34" i="57"/>
  <c r="AN2" i="57"/>
  <c r="O65" i="148"/>
  <c r="N65" i="148"/>
  <c r="N63" i="148"/>
  <c r="N62" i="148"/>
  <c r="N33" i="148"/>
  <c r="N35" i="148"/>
  <c r="J18" i="148"/>
  <c r="J7" i="148"/>
  <c r="H4" i="148"/>
  <c r="H9" i="148"/>
  <c r="F18" i="148"/>
  <c r="B43" i="161" l="1"/>
  <c r="N57" i="148"/>
  <c r="N48" i="150" l="1"/>
  <c r="N48" i="151"/>
  <c r="N48" i="152"/>
  <c r="N48" i="153"/>
  <c r="N49" i="153" s="1"/>
  <c r="N48" i="154"/>
  <c r="N49" i="154" s="1"/>
  <c r="N48" i="155"/>
  <c r="N48" i="156"/>
  <c r="N48" i="157"/>
  <c r="N49" i="157" s="1"/>
  <c r="N49" i="158"/>
  <c r="B43" i="158" s="1"/>
  <c r="N48" i="158"/>
  <c r="N50" i="158" s="1"/>
  <c r="N48" i="159"/>
  <c r="N48" i="160"/>
  <c r="N48" i="161"/>
  <c r="N49" i="161" s="1"/>
  <c r="N50" i="161" s="1"/>
  <c r="N48" i="149"/>
  <c r="N49" i="149" s="1"/>
  <c r="N49" i="148"/>
  <c r="N48" i="148"/>
  <c r="N32" i="148"/>
  <c r="N50" i="157" l="1"/>
  <c r="B43" i="157"/>
  <c r="N50" i="154"/>
  <c r="B43" i="154"/>
  <c r="N50" i="153"/>
  <c r="B43" i="153"/>
  <c r="N49" i="151"/>
  <c r="B43" i="151" s="1"/>
  <c r="N49" i="150"/>
  <c r="B43" i="150" s="1"/>
  <c r="N50" i="149"/>
  <c r="B43" i="149"/>
  <c r="N50" i="148"/>
  <c r="B43" i="148" s="1"/>
  <c r="N49" i="159"/>
  <c r="N49" i="155"/>
  <c r="B43" i="155" s="1"/>
  <c r="N49" i="160"/>
  <c r="N49" i="156"/>
  <c r="B43" i="156" s="1"/>
  <c r="N49" i="152"/>
  <c r="N50" i="160" l="1"/>
  <c r="B43" i="160"/>
  <c r="N50" i="159"/>
  <c r="B43" i="159"/>
  <c r="N50" i="156"/>
  <c r="N50" i="155"/>
  <c r="N50" i="152"/>
  <c r="B43" i="152"/>
  <c r="N50" i="151"/>
  <c r="N50" i="150"/>
  <c r="AM24" i="57"/>
  <c r="AM25" i="57"/>
  <c r="AM26" i="57"/>
  <c r="AM27" i="57"/>
  <c r="AM28" i="57"/>
  <c r="AM29" i="57"/>
  <c r="AM30" i="57"/>
  <c r="AM31" i="57"/>
  <c r="AM32" i="57"/>
  <c r="AM33" i="57"/>
  <c r="AM34" i="57"/>
  <c r="AL24" i="57"/>
  <c r="AL25" i="57"/>
  <c r="AL26" i="57"/>
  <c r="AL27" i="57"/>
  <c r="AL28" i="57"/>
  <c r="AL29" i="57"/>
  <c r="AL30" i="57"/>
  <c r="AL31" i="57"/>
  <c r="AL32" i="57"/>
  <c r="AL33" i="57"/>
  <c r="AL34" i="57"/>
  <c r="AK24" i="57"/>
  <c r="AK25" i="57"/>
  <c r="AK26" i="57"/>
  <c r="AK27" i="57"/>
  <c r="AK28" i="57"/>
  <c r="AK29" i="57"/>
  <c r="AK30" i="57"/>
  <c r="AK31" i="57"/>
  <c r="AK32" i="57"/>
  <c r="AK33" i="57"/>
  <c r="AK34" i="57"/>
  <c r="J14" i="147"/>
  <c r="J18" i="147"/>
  <c r="J7" i="147"/>
  <c r="H4" i="147"/>
  <c r="H9" i="147"/>
  <c r="J20" i="147"/>
  <c r="D15" i="147"/>
  <c r="N48" i="147"/>
  <c r="D4" i="147"/>
  <c r="N49" i="147" l="1"/>
  <c r="B43" i="147" s="1"/>
  <c r="P15" i="145"/>
  <c r="J33" i="145"/>
  <c r="J34" i="145"/>
  <c r="N50" i="147" l="1"/>
  <c r="B57" i="144"/>
  <c r="B59" i="144" s="1"/>
  <c r="AJ24" i="57" l="1"/>
  <c r="AJ25" i="57"/>
  <c r="AJ26" i="57"/>
  <c r="AJ27" i="57"/>
  <c r="AJ28" i="57"/>
  <c r="AJ29" i="57"/>
  <c r="AJ30" i="57"/>
  <c r="AJ31" i="57"/>
  <c r="AJ32" i="57"/>
  <c r="AJ33" i="57"/>
  <c r="AJ34" i="57"/>
  <c r="N48" i="144"/>
  <c r="N49" i="144" s="1"/>
  <c r="B43" i="144" s="1"/>
  <c r="H7" i="144"/>
  <c r="I16" i="144"/>
  <c r="H16" i="144"/>
  <c r="H17" i="144"/>
  <c r="H4" i="144"/>
  <c r="H24" i="144" s="1"/>
  <c r="N50" i="144" l="1"/>
  <c r="B57" i="143"/>
  <c r="B59" i="143" s="1"/>
  <c r="AI24" i="57"/>
  <c r="AI25" i="57"/>
  <c r="AI26" i="57"/>
  <c r="AI27" i="57"/>
  <c r="AI28" i="57"/>
  <c r="AI29" i="57"/>
  <c r="AI30" i="57"/>
  <c r="AI31" i="57"/>
  <c r="AI32" i="57"/>
  <c r="AI33" i="57"/>
  <c r="AI34" i="57"/>
  <c r="AH24" i="57"/>
  <c r="AH25" i="57"/>
  <c r="AH26" i="57"/>
  <c r="AH27" i="57"/>
  <c r="AH28" i="57"/>
  <c r="AH29" i="57"/>
  <c r="AH30" i="57"/>
  <c r="AH31" i="57"/>
  <c r="AH32" i="57"/>
  <c r="AH33" i="57"/>
  <c r="AH34" i="57"/>
  <c r="AG24" i="57"/>
  <c r="AG25" i="57"/>
  <c r="AG26" i="57"/>
  <c r="AG27" i="57"/>
  <c r="AG28" i="57"/>
  <c r="AG29" i="57"/>
  <c r="AG30" i="57"/>
  <c r="AG31" i="57"/>
  <c r="AG32" i="57"/>
  <c r="AG33" i="57"/>
  <c r="AG34" i="57"/>
  <c r="J18" i="143"/>
  <c r="J7" i="143"/>
  <c r="H4" i="143"/>
  <c r="H9" i="143"/>
  <c r="D16" i="143"/>
  <c r="G51" i="143" l="1"/>
  <c r="B33" i="143"/>
  <c r="N48" i="143" l="1"/>
  <c r="J34" i="137"/>
  <c r="N48" i="142"/>
  <c r="K14" i="142"/>
  <c r="J18" i="142"/>
  <c r="E15" i="142"/>
  <c r="E16" i="142"/>
  <c r="N49" i="143" l="1"/>
  <c r="B43" i="143" s="1"/>
  <c r="N49" i="142"/>
  <c r="B43" i="142" s="1"/>
  <c r="J34" i="141"/>
  <c r="J34" i="142" s="1"/>
  <c r="J34" i="143" s="1"/>
  <c r="N50" i="143" l="1"/>
  <c r="N50" i="142"/>
  <c r="B57" i="141" l="1"/>
  <c r="B57" i="142" s="1"/>
  <c r="B59" i="142" s="1"/>
  <c r="J18" i="141" l="1"/>
  <c r="J7" i="141"/>
  <c r="I4" i="141"/>
  <c r="G51" i="141"/>
  <c r="B43" i="141"/>
  <c r="AF24" i="57" l="1"/>
  <c r="AF25" i="57"/>
  <c r="AF26" i="57"/>
  <c r="AF27" i="57"/>
  <c r="AF28" i="57"/>
  <c r="AF29" i="57"/>
  <c r="AF30" i="57"/>
  <c r="AF31" i="57"/>
  <c r="AF32" i="57"/>
  <c r="AF33" i="57"/>
  <c r="AF34" i="57"/>
  <c r="B57" i="140"/>
  <c r="B59" i="140" s="1"/>
  <c r="N34" i="139"/>
  <c r="N34" i="140" s="1"/>
  <c r="N34" i="141" s="1"/>
  <c r="N34" i="142" s="1"/>
  <c r="N34" i="143" s="1"/>
  <c r="N48" i="140"/>
  <c r="J18" i="140"/>
  <c r="J7" i="140"/>
  <c r="H9" i="140"/>
  <c r="C19" i="165"/>
  <c r="C18" i="165"/>
  <c r="C46" i="165" l="1"/>
  <c r="C51" i="165" s="1"/>
  <c r="N49" i="140"/>
  <c r="B43" i="140" s="1"/>
  <c r="AE24" i="57"/>
  <c r="AE25" i="57"/>
  <c r="AE26" i="57"/>
  <c r="AE27" i="57"/>
  <c r="AE28" i="57"/>
  <c r="AE29" i="57"/>
  <c r="AE30" i="57"/>
  <c r="AE31" i="57"/>
  <c r="AE32" i="57"/>
  <c r="AE33" i="57"/>
  <c r="AE34" i="57"/>
  <c r="B57" i="139"/>
  <c r="B59" i="139" s="1"/>
  <c r="G46" i="165" l="1"/>
  <c r="N57" i="147"/>
  <c r="N57" i="146"/>
  <c r="N57" i="142"/>
  <c r="N57" i="141"/>
  <c r="N50" i="140"/>
  <c r="N57" i="139"/>
  <c r="N57" i="145"/>
  <c r="N57" i="136"/>
  <c r="N57" i="138"/>
  <c r="N57" i="140"/>
  <c r="N57" i="144"/>
  <c r="N57" i="137"/>
  <c r="N57" i="143"/>
  <c r="K14" i="139"/>
  <c r="J18" i="139"/>
  <c r="J7" i="139"/>
  <c r="I15" i="139"/>
  <c r="B54" i="140" l="1"/>
  <c r="B54" i="141"/>
  <c r="B54" i="142"/>
  <c r="B54" i="143"/>
  <c r="B54" i="144"/>
  <c r="B54" i="145"/>
  <c r="B54" i="146"/>
  <c r="B54" i="147"/>
  <c r="B54" i="148"/>
  <c r="B54" i="139"/>
  <c r="AD24" i="57" l="1"/>
  <c r="AD25" i="57"/>
  <c r="AD26" i="57"/>
  <c r="AD27" i="57"/>
  <c r="AD28" i="57"/>
  <c r="AD29" i="57"/>
  <c r="AD30" i="57"/>
  <c r="AD31" i="57"/>
  <c r="AD32" i="57"/>
  <c r="AD33" i="57"/>
  <c r="AD34" i="57"/>
  <c r="AC24" i="57"/>
  <c r="AC25" i="57"/>
  <c r="AC26" i="57"/>
  <c r="AC27" i="57"/>
  <c r="AC28" i="57"/>
  <c r="AC29" i="57"/>
  <c r="AC30" i="57"/>
  <c r="AC31" i="57"/>
  <c r="AC32" i="57"/>
  <c r="AC33" i="57"/>
  <c r="AC34" i="57"/>
  <c r="J18" i="138" l="1"/>
  <c r="J7" i="138"/>
  <c r="B57" i="138" l="1"/>
  <c r="B59" i="138" s="1"/>
  <c r="B54" i="138"/>
  <c r="N48" i="138"/>
  <c r="N49" i="138" l="1"/>
  <c r="J18" i="137"/>
  <c r="J7" i="137"/>
  <c r="H4" i="137"/>
  <c r="H9" i="137"/>
  <c r="N50" i="138" l="1"/>
  <c r="B43" i="138"/>
  <c r="B54" i="137"/>
  <c r="G51" i="137"/>
  <c r="AB24" i="57" l="1"/>
  <c r="AB25" i="57"/>
  <c r="AB26" i="57"/>
  <c r="AB27" i="57"/>
  <c r="AB28" i="57"/>
  <c r="AB29" i="57"/>
  <c r="AB30" i="57"/>
  <c r="AB31" i="57"/>
  <c r="AB32" i="57"/>
  <c r="AB33" i="57"/>
  <c r="AB34" i="57"/>
  <c r="AA24" i="57"/>
  <c r="AA25" i="57"/>
  <c r="AA26" i="57"/>
  <c r="AA27" i="57"/>
  <c r="AA28" i="57"/>
  <c r="AA29" i="57"/>
  <c r="AA30" i="57"/>
  <c r="AA31" i="57"/>
  <c r="AA32" i="57"/>
  <c r="AA33" i="57"/>
  <c r="AA34" i="57"/>
  <c r="J18" i="136"/>
  <c r="J7" i="136"/>
  <c r="H4" i="136"/>
  <c r="H9" i="136"/>
  <c r="E16" i="136"/>
  <c r="E6" i="136"/>
  <c r="G51" i="136"/>
  <c r="J14" i="135" l="1"/>
  <c r="J18" i="135"/>
  <c r="J7" i="135"/>
  <c r="H4" i="135"/>
  <c r="H9" i="135"/>
  <c r="E16" i="135"/>
  <c r="G51" i="135" l="1"/>
  <c r="Z24" i="57" l="1"/>
  <c r="Z25" i="57"/>
  <c r="Z26" i="57"/>
  <c r="Z27" i="57"/>
  <c r="Z28" i="57"/>
  <c r="Z29" i="57"/>
  <c r="Z30" i="57"/>
  <c r="Z31" i="57"/>
  <c r="Z32" i="57"/>
  <c r="Z33" i="57"/>
  <c r="Z34" i="57"/>
  <c r="Y24" i="57"/>
  <c r="Y25" i="57"/>
  <c r="Y26" i="57"/>
  <c r="Y27" i="57"/>
  <c r="Y28" i="57"/>
  <c r="Y29" i="57"/>
  <c r="Y30" i="57"/>
  <c r="Y31" i="57"/>
  <c r="Y32" i="57"/>
  <c r="Y33" i="57"/>
  <c r="Y34" i="57"/>
  <c r="B57" i="135"/>
  <c r="J18" i="134"/>
  <c r="J7" i="134"/>
  <c r="H4" i="134"/>
  <c r="N34" i="134"/>
  <c r="N34" i="135" s="1"/>
  <c r="J34" i="134"/>
  <c r="J34" i="135" s="1"/>
  <c r="B57" i="134"/>
  <c r="B59" i="134" s="1"/>
  <c r="G51" i="134"/>
  <c r="B57" i="133" l="1"/>
  <c r="B59" i="133" s="1"/>
  <c r="J18" i="133"/>
  <c r="H4" i="133"/>
  <c r="N34" i="131" l="1"/>
  <c r="B54" i="134" l="1"/>
  <c r="B54" i="135"/>
  <c r="B54" i="136"/>
  <c r="B54" i="133"/>
  <c r="N48" i="134"/>
  <c r="N48" i="135"/>
  <c r="N49" i="135" s="1"/>
  <c r="B43" i="135" s="1"/>
  <c r="N48" i="136"/>
  <c r="N48" i="137"/>
  <c r="N49" i="137" s="1"/>
  <c r="B43" i="137" s="1"/>
  <c r="N48" i="133"/>
  <c r="N49" i="136" l="1"/>
  <c r="B43" i="136" s="1"/>
  <c r="N49" i="134"/>
  <c r="B43" i="134" s="1"/>
  <c r="N49" i="133"/>
  <c r="B43" i="133" s="1"/>
  <c r="N50" i="137"/>
  <c r="N50" i="135"/>
  <c r="N50" i="133" l="1"/>
  <c r="N50" i="136"/>
  <c r="N50" i="134"/>
  <c r="X24" i="57"/>
  <c r="X25" i="57"/>
  <c r="X26" i="57"/>
  <c r="X27" i="57"/>
  <c r="X28" i="57"/>
  <c r="X29" i="57"/>
  <c r="X30" i="57"/>
  <c r="X31" i="57"/>
  <c r="X32" i="57"/>
  <c r="X33" i="57"/>
  <c r="X34" i="57"/>
  <c r="J18" i="132"/>
  <c r="K7" i="132"/>
  <c r="J7" i="132"/>
  <c r="I4" i="132"/>
  <c r="H4" i="132"/>
  <c r="F18" i="132"/>
  <c r="G51" i="132"/>
  <c r="B57" i="132" l="1"/>
  <c r="B59" i="132" s="1"/>
  <c r="B54" i="132"/>
  <c r="N47" i="132"/>
  <c r="N48" i="132" l="1"/>
  <c r="W24" i="57"/>
  <c r="W25" i="57"/>
  <c r="W26" i="57"/>
  <c r="W27" i="57"/>
  <c r="W28" i="57"/>
  <c r="W29" i="57"/>
  <c r="W30" i="57"/>
  <c r="W31" i="57"/>
  <c r="W32" i="57"/>
  <c r="W33" i="57"/>
  <c r="W34" i="57"/>
  <c r="B57" i="131"/>
  <c r="B59" i="131" s="1"/>
  <c r="J50" i="131"/>
  <c r="L4" i="131"/>
  <c r="H4" i="131"/>
  <c r="G51" i="131"/>
  <c r="B54" i="131"/>
  <c r="N48" i="131"/>
  <c r="N49" i="131" s="1"/>
  <c r="B43" i="131" s="1"/>
  <c r="N49" i="132" l="1"/>
  <c r="B43" i="132"/>
  <c r="N50" i="131"/>
  <c r="B57" i="130"/>
  <c r="B59" i="130" s="1"/>
  <c r="V24" i="57" l="1"/>
  <c r="V25" i="57"/>
  <c r="V26" i="57"/>
  <c r="V27" i="57"/>
  <c r="V28" i="57"/>
  <c r="V29" i="57"/>
  <c r="V30" i="57"/>
  <c r="V31" i="57"/>
  <c r="V32" i="57"/>
  <c r="V33" i="57"/>
  <c r="V34" i="57"/>
  <c r="K14" i="130"/>
  <c r="H4" i="130"/>
  <c r="B54" i="130"/>
  <c r="G51" i="130"/>
  <c r="B57" i="129" l="1"/>
  <c r="B57" i="128"/>
  <c r="U24" i="57" l="1"/>
  <c r="U25" i="57"/>
  <c r="U26" i="57"/>
  <c r="U27" i="57"/>
  <c r="U28" i="57"/>
  <c r="U29" i="57"/>
  <c r="U30" i="57"/>
  <c r="U31" i="57"/>
  <c r="U32" i="57"/>
  <c r="U33" i="57"/>
  <c r="U34" i="57"/>
  <c r="K7" i="129"/>
  <c r="I4" i="129"/>
  <c r="I9" i="129"/>
  <c r="G14" i="129"/>
  <c r="E6" i="129"/>
  <c r="T24" i="57" l="1"/>
  <c r="T25" i="57"/>
  <c r="T26" i="57"/>
  <c r="T27" i="57"/>
  <c r="T28" i="57"/>
  <c r="T29" i="57"/>
  <c r="T30" i="57"/>
  <c r="T31" i="57"/>
  <c r="T32" i="57"/>
  <c r="T33" i="57"/>
  <c r="T34" i="57"/>
  <c r="R44" i="57"/>
  <c r="R43" i="57"/>
  <c r="R42" i="57"/>
  <c r="R41" i="57"/>
  <c r="R40" i="57"/>
  <c r="R39" i="57"/>
  <c r="R38" i="57"/>
  <c r="R37" i="57"/>
  <c r="S24" i="57"/>
  <c r="S25" i="57"/>
  <c r="N47" i="130"/>
  <c r="N34" i="129"/>
  <c r="B54" i="129"/>
  <c r="G51" i="129"/>
  <c r="J50" i="128"/>
  <c r="N9" i="128"/>
  <c r="N48" i="130" l="1"/>
  <c r="B43" i="130" s="1"/>
  <c r="L9" i="128"/>
  <c r="N48" i="129"/>
  <c r="N49" i="130" l="1"/>
  <c r="N49" i="129"/>
  <c r="N50" i="129" l="1"/>
  <c r="B43" i="129"/>
  <c r="G51" i="128"/>
  <c r="B54" i="128" l="1"/>
  <c r="N48" i="128"/>
  <c r="N49" i="128" l="1"/>
  <c r="N50" i="128" l="1"/>
  <c r="B43" i="128"/>
  <c r="G51" i="127"/>
  <c r="L35" i="126" l="1"/>
  <c r="P19" i="126" l="1"/>
  <c r="P20" i="126"/>
  <c r="P21" i="126"/>
  <c r="P22" i="126"/>
  <c r="P23" i="126"/>
  <c r="P24" i="126"/>
  <c r="P25" i="126"/>
  <c r="P26" i="126"/>
  <c r="P27" i="126"/>
  <c r="P28" i="126"/>
  <c r="P29" i="126"/>
  <c r="P30" i="126"/>
  <c r="P31" i="126"/>
  <c r="P32" i="126"/>
  <c r="P33" i="126"/>
  <c r="P34" i="126"/>
  <c r="P35" i="126"/>
  <c r="P36" i="126"/>
  <c r="O19" i="126"/>
  <c r="R17" i="57" s="1"/>
  <c r="O20" i="126"/>
  <c r="R18" i="57" s="1"/>
  <c r="O21" i="126"/>
  <c r="R19" i="57" s="1"/>
  <c r="O22" i="126"/>
  <c r="R20" i="57" s="1"/>
  <c r="O23" i="126"/>
  <c r="R21" i="57" s="1"/>
  <c r="O24" i="126"/>
  <c r="R22" i="57" s="1"/>
  <c r="O25" i="126"/>
  <c r="R23" i="57" s="1"/>
  <c r="O26" i="126"/>
  <c r="R24" i="57" s="1"/>
  <c r="O27" i="126"/>
  <c r="R25" i="57" s="1"/>
  <c r="O28" i="126"/>
  <c r="R26" i="57" s="1"/>
  <c r="O29" i="126"/>
  <c r="R27" i="57" s="1"/>
  <c r="O30" i="126"/>
  <c r="R28" i="57" s="1"/>
  <c r="O31" i="126"/>
  <c r="R29" i="57" s="1"/>
  <c r="O32" i="126"/>
  <c r="R30" i="57" s="1"/>
  <c r="O33" i="126"/>
  <c r="R31" i="57" s="1"/>
  <c r="O34" i="126"/>
  <c r="R32" i="57" s="1"/>
  <c r="O35" i="126"/>
  <c r="R33" i="57" s="1"/>
  <c r="O36" i="126"/>
  <c r="R34" i="57" s="1"/>
  <c r="J4" i="126"/>
  <c r="B80" i="126" l="1"/>
  <c r="B82" i="126" s="1"/>
  <c r="J14" i="126"/>
  <c r="J18" i="126"/>
  <c r="J47" i="126"/>
  <c r="J34" i="127" s="1"/>
  <c r="Q24" i="57" l="1"/>
  <c r="Q25" i="57"/>
  <c r="G51" i="125"/>
  <c r="J18" i="125"/>
  <c r="J7" i="125"/>
  <c r="H4" i="125"/>
  <c r="D16" i="125"/>
  <c r="B57" i="125"/>
  <c r="B59" i="125" s="1"/>
  <c r="P24" i="57" l="1"/>
  <c r="P25" i="57"/>
  <c r="B57" i="124"/>
  <c r="B59" i="124" s="1"/>
  <c r="J18" i="124"/>
  <c r="H4" i="124"/>
  <c r="J3" i="162" l="1"/>
  <c r="J4" i="162" s="1"/>
  <c r="O24" i="57" l="1"/>
  <c r="O25" i="57"/>
  <c r="K14" i="123"/>
  <c r="J14" i="123"/>
  <c r="J18" i="123"/>
  <c r="K18" i="123"/>
  <c r="J7" i="123"/>
  <c r="H4" i="123"/>
  <c r="B57" i="123" l="1"/>
  <c r="G51" i="123"/>
  <c r="G51" i="124"/>
  <c r="B59" i="123" l="1"/>
  <c r="N24" i="57"/>
  <c r="N25" i="57"/>
  <c r="M24" i="57"/>
  <c r="M25" i="57"/>
  <c r="BC22" i="57"/>
  <c r="BC23" i="57"/>
  <c r="BC24" i="57"/>
  <c r="BC25" i="57"/>
  <c r="N49" i="122" l="1"/>
  <c r="B54" i="124"/>
  <c r="B54" i="125"/>
  <c r="B72" i="126"/>
  <c r="B54" i="127"/>
  <c r="B54" i="123"/>
  <c r="N47" i="124"/>
  <c r="N47" i="125"/>
  <c r="N48" i="125" s="1"/>
  <c r="B43" i="125" s="1"/>
  <c r="N65" i="126"/>
  <c r="N47" i="127"/>
  <c r="N48" i="127" s="1"/>
  <c r="B43" i="127" s="1"/>
  <c r="N47" i="123"/>
  <c r="N66" i="126" l="1"/>
  <c r="N48" i="124"/>
  <c r="N48" i="123"/>
  <c r="N49" i="127"/>
  <c r="N49" i="125"/>
  <c r="J18" i="122"/>
  <c r="H4" i="122"/>
  <c r="I19" i="122"/>
  <c r="H19" i="122"/>
  <c r="G14" i="122"/>
  <c r="F18" i="122"/>
  <c r="E16" i="122"/>
  <c r="N34" i="122"/>
  <c r="N67" i="126" l="1"/>
  <c r="B61" i="126"/>
  <c r="N49" i="123"/>
  <c r="B43" i="123"/>
  <c r="N49" i="124"/>
  <c r="B43" i="124"/>
  <c r="N53" i="122"/>
  <c r="B57" i="122"/>
  <c r="B59" i="122" s="1"/>
  <c r="B54" i="122"/>
  <c r="G51" i="122"/>
  <c r="N54" i="122" l="1"/>
  <c r="B57" i="121"/>
  <c r="B59" i="121" s="1"/>
  <c r="J18" i="121"/>
  <c r="J7" i="121"/>
  <c r="H4" i="121"/>
  <c r="E16" i="121"/>
  <c r="N55" i="122" l="1"/>
  <c r="B43" i="122"/>
  <c r="G51" i="121"/>
  <c r="B54" i="121"/>
  <c r="N53" i="121" l="1"/>
  <c r="N54" i="121" l="1"/>
  <c r="B43" i="121" s="1"/>
  <c r="B59" i="120"/>
  <c r="B61" i="120" s="1"/>
  <c r="N55" i="121" l="1"/>
  <c r="L24" i="57"/>
  <c r="L25" i="57"/>
  <c r="J18" i="120"/>
  <c r="J7" i="120"/>
  <c r="H4" i="120"/>
  <c r="E16" i="120"/>
  <c r="D4" i="120"/>
  <c r="G51" i="120"/>
  <c r="B56" i="120"/>
  <c r="N52" i="120" l="1"/>
  <c r="N53" i="120" l="1"/>
  <c r="B43" i="120" s="1"/>
  <c r="G51" i="119"/>
  <c r="N54" i="120" l="1"/>
  <c r="K24" i="57"/>
  <c r="P44" i="119"/>
  <c r="J18" i="119"/>
  <c r="J7" i="119"/>
  <c r="H4" i="119"/>
  <c r="H16" i="119"/>
  <c r="F18" i="119"/>
  <c r="E16" i="119"/>
  <c r="J13" i="119"/>
  <c r="B59" i="119" l="1"/>
  <c r="B61" i="119" s="1"/>
  <c r="B54" i="119"/>
  <c r="J24" i="57" l="1"/>
  <c r="J25" i="57"/>
  <c r="B60" i="118"/>
  <c r="J12" i="118"/>
  <c r="J8" i="118"/>
  <c r="H4" i="118"/>
  <c r="D4" i="118"/>
  <c r="G51" i="118" l="1"/>
  <c r="N34" i="120" l="1"/>
  <c r="B54" i="118"/>
  <c r="F22" i="58" l="1"/>
  <c r="I24" i="57"/>
  <c r="I25" i="57"/>
  <c r="J18" i="117"/>
  <c r="J7" i="117"/>
  <c r="H4" i="117"/>
  <c r="H16" i="117"/>
  <c r="H15" i="117"/>
  <c r="G51" i="117"/>
  <c r="B54" i="117"/>
  <c r="B58" i="117" l="1"/>
  <c r="B60" i="117" s="1"/>
  <c r="D4" i="116" l="1"/>
  <c r="H24" i="57" l="1"/>
  <c r="H25" i="57"/>
  <c r="J18" i="116"/>
  <c r="J7" i="116"/>
  <c r="H9" i="116"/>
  <c r="F16" i="116"/>
  <c r="F7" i="116"/>
  <c r="D9" i="116"/>
  <c r="B7" i="116"/>
  <c r="B4" i="116"/>
  <c r="G51" i="116" l="1"/>
  <c r="B57" i="116" l="1"/>
  <c r="B59" i="116" s="1"/>
  <c r="B54" i="116"/>
  <c r="Q43" i="116" l="1"/>
  <c r="Q42" i="116"/>
  <c r="Q45" i="116" l="1"/>
  <c r="Q46" i="116"/>
  <c r="N44" i="116"/>
  <c r="N34" i="116"/>
  <c r="G24" i="57" l="1"/>
  <c r="G25" i="57"/>
  <c r="J18" i="115"/>
  <c r="K7" i="115"/>
  <c r="J7" i="115"/>
  <c r="H4" i="115"/>
  <c r="I16" i="115"/>
  <c r="H16" i="115"/>
  <c r="D6" i="115"/>
  <c r="O13" i="115"/>
  <c r="G11" i="57" s="1"/>
  <c r="B57" i="115" l="1"/>
  <c r="B59" i="115" s="1"/>
  <c r="B54" i="115"/>
  <c r="F24" i="57" l="1"/>
  <c r="F25" i="57"/>
  <c r="H4" i="114"/>
  <c r="J18" i="114"/>
  <c r="H15" i="114"/>
  <c r="H6" i="114"/>
  <c r="F18" i="114"/>
  <c r="D4" i="114"/>
  <c r="B54" i="114"/>
  <c r="B57" i="114"/>
  <c r="B59" i="114" s="1"/>
  <c r="B60" i="114" s="1"/>
  <c r="B53" i="114"/>
  <c r="C44" i="164" l="1"/>
  <c r="C49" i="164" s="1"/>
  <c r="G44" i="164" l="1"/>
  <c r="A1" i="113"/>
  <c r="J14" i="113"/>
  <c r="J18" i="113"/>
  <c r="J7" i="113"/>
  <c r="B55" i="113"/>
  <c r="B57" i="113" s="1"/>
  <c r="B58" i="113" s="1"/>
  <c r="H16" i="113"/>
  <c r="F14" i="113"/>
  <c r="N58" i="135" l="1"/>
  <c r="N57" i="134"/>
  <c r="N56" i="132"/>
  <c r="N56" i="130"/>
  <c r="N57" i="131"/>
  <c r="N58" i="128"/>
  <c r="N58" i="129"/>
  <c r="N56" i="125"/>
  <c r="N56" i="124"/>
  <c r="N55" i="123"/>
  <c r="N43" i="117"/>
  <c r="N40" i="122"/>
  <c r="N40" i="120"/>
  <c r="N43" i="118"/>
  <c r="N40" i="121"/>
  <c r="N40" i="119"/>
  <c r="B44" i="113"/>
  <c r="B52" i="113" s="1"/>
  <c r="N34" i="113" l="1"/>
  <c r="N34" i="114" s="1"/>
  <c r="J34" i="113"/>
  <c r="B57" i="112" l="1"/>
  <c r="J18" i="112" l="1"/>
  <c r="K7" i="112"/>
  <c r="J7" i="112"/>
  <c r="H4" i="112"/>
  <c r="I12" i="112"/>
  <c r="H12" i="112"/>
  <c r="J14" i="111" l="1"/>
  <c r="J18" i="111"/>
  <c r="H4" i="111"/>
  <c r="E16" i="111"/>
  <c r="F18" i="111"/>
  <c r="B24" i="162" l="1"/>
  <c r="Q2" i="111" l="1"/>
  <c r="G58" i="161" l="1"/>
  <c r="B35" i="161"/>
  <c r="B34" i="161"/>
  <c r="B33" i="161"/>
  <c r="N24" i="161"/>
  <c r="M24" i="161"/>
  <c r="L24" i="161"/>
  <c r="K24" i="161"/>
  <c r="J24" i="161"/>
  <c r="I24" i="161"/>
  <c r="H24" i="161"/>
  <c r="G24" i="161"/>
  <c r="F24" i="161"/>
  <c r="E24" i="161"/>
  <c r="D24" i="161"/>
  <c r="C24" i="161"/>
  <c r="B24" i="161"/>
  <c r="P23" i="161"/>
  <c r="O23" i="161"/>
  <c r="P22" i="161"/>
  <c r="O22" i="161"/>
  <c r="P21" i="161"/>
  <c r="O21" i="161"/>
  <c r="P20" i="161"/>
  <c r="O20" i="161"/>
  <c r="P19" i="161"/>
  <c r="O19" i="161"/>
  <c r="P18" i="161"/>
  <c r="O18" i="161"/>
  <c r="P17" i="161"/>
  <c r="O17" i="161"/>
  <c r="BA15" i="57" s="1"/>
  <c r="P16" i="161"/>
  <c r="O16" i="161"/>
  <c r="BA14" i="57" s="1"/>
  <c r="BB14" i="57" s="1"/>
  <c r="P15" i="161"/>
  <c r="O15" i="161"/>
  <c r="BA13" i="57" s="1"/>
  <c r="BB13" i="57" s="1"/>
  <c r="P14" i="161"/>
  <c r="O14" i="161"/>
  <c r="P13" i="161"/>
  <c r="O13" i="161"/>
  <c r="P12" i="161"/>
  <c r="O12" i="161"/>
  <c r="P11" i="161"/>
  <c r="O11" i="161"/>
  <c r="P10" i="161"/>
  <c r="O10" i="161"/>
  <c r="P9" i="161"/>
  <c r="O9" i="161"/>
  <c r="BA7" i="57" s="1"/>
  <c r="BB7" i="57" s="1"/>
  <c r="P8" i="161"/>
  <c r="O8" i="161"/>
  <c r="P7" i="161"/>
  <c r="O7" i="161"/>
  <c r="P6" i="161"/>
  <c r="O6" i="161"/>
  <c r="BA4" i="57" s="1"/>
  <c r="P5" i="161"/>
  <c r="O5" i="161"/>
  <c r="P4" i="161"/>
  <c r="P24" i="161" s="1"/>
  <c r="B27" i="161" s="1"/>
  <c r="O4" i="161"/>
  <c r="BA2" i="57" s="1"/>
  <c r="BB2" i="57" s="1"/>
  <c r="G58" i="160"/>
  <c r="B35" i="160"/>
  <c r="B34" i="160"/>
  <c r="B33" i="160"/>
  <c r="N24" i="160"/>
  <c r="M24" i="160"/>
  <c r="L24" i="160"/>
  <c r="K24" i="160"/>
  <c r="J24" i="160"/>
  <c r="I24" i="160"/>
  <c r="H24" i="160"/>
  <c r="G24" i="160"/>
  <c r="F24" i="160"/>
  <c r="E24" i="160"/>
  <c r="D24" i="160"/>
  <c r="C24" i="160"/>
  <c r="B24" i="160"/>
  <c r="P23" i="160"/>
  <c r="O23" i="160"/>
  <c r="P22" i="160"/>
  <c r="O22" i="160"/>
  <c r="P21" i="160"/>
  <c r="O21" i="160"/>
  <c r="P20" i="160"/>
  <c r="O20" i="160"/>
  <c r="P19" i="160"/>
  <c r="O19" i="160"/>
  <c r="P18" i="160"/>
  <c r="O18" i="160"/>
  <c r="P17" i="160"/>
  <c r="O17" i="160"/>
  <c r="P16" i="160"/>
  <c r="O16" i="160"/>
  <c r="P15" i="160"/>
  <c r="O15" i="160"/>
  <c r="P14" i="160"/>
  <c r="O14" i="160"/>
  <c r="P13" i="160"/>
  <c r="O13" i="160"/>
  <c r="BB11" i="57" s="1"/>
  <c r="P12" i="160"/>
  <c r="O12" i="160"/>
  <c r="P11" i="160"/>
  <c r="O11" i="160"/>
  <c r="P10" i="160"/>
  <c r="O10" i="160"/>
  <c r="P9" i="160"/>
  <c r="O9" i="160"/>
  <c r="P8" i="160"/>
  <c r="O8" i="160"/>
  <c r="P7" i="160"/>
  <c r="O7" i="160"/>
  <c r="P6" i="160"/>
  <c r="O6" i="160"/>
  <c r="P5" i="160"/>
  <c r="O5" i="160"/>
  <c r="P4" i="160"/>
  <c r="O4" i="160"/>
  <c r="G58" i="159"/>
  <c r="B35" i="159"/>
  <c r="B34" i="159"/>
  <c r="B33" i="159"/>
  <c r="N24" i="159"/>
  <c r="M24" i="159"/>
  <c r="L24" i="159"/>
  <c r="K24" i="159"/>
  <c r="J24" i="159"/>
  <c r="I24" i="159"/>
  <c r="H24" i="159"/>
  <c r="G24" i="159"/>
  <c r="F24" i="159"/>
  <c r="E24" i="159"/>
  <c r="D24" i="159"/>
  <c r="C24" i="159"/>
  <c r="B24" i="159"/>
  <c r="P23" i="159"/>
  <c r="O23" i="159"/>
  <c r="P22" i="159"/>
  <c r="O22" i="159"/>
  <c r="P21" i="159"/>
  <c r="O21" i="159"/>
  <c r="P20" i="159"/>
  <c r="O20" i="159"/>
  <c r="P19" i="159"/>
  <c r="O19" i="159"/>
  <c r="P18" i="159"/>
  <c r="O18" i="159"/>
  <c r="P17" i="159"/>
  <c r="O17" i="159"/>
  <c r="P16" i="159"/>
  <c r="O16" i="159"/>
  <c r="P15" i="159"/>
  <c r="O15" i="159"/>
  <c r="P14" i="159"/>
  <c r="O14" i="159"/>
  <c r="P13" i="159"/>
  <c r="O13" i="159"/>
  <c r="P12" i="159"/>
  <c r="O12" i="159"/>
  <c r="P11" i="159"/>
  <c r="O11" i="159"/>
  <c r="P10" i="159"/>
  <c r="O10" i="159"/>
  <c r="P9" i="159"/>
  <c r="O9" i="159"/>
  <c r="P8" i="159"/>
  <c r="O8" i="159"/>
  <c r="P7" i="159"/>
  <c r="O7" i="159"/>
  <c r="P6" i="159"/>
  <c r="O6" i="159"/>
  <c r="P5" i="159"/>
  <c r="O5" i="159"/>
  <c r="P4" i="159"/>
  <c r="O4" i="159"/>
  <c r="O24" i="159" s="1"/>
  <c r="F32" i="159" s="1"/>
  <c r="G58" i="158"/>
  <c r="B35" i="158"/>
  <c r="B34" i="158"/>
  <c r="B33" i="158"/>
  <c r="N24" i="158"/>
  <c r="M24" i="158"/>
  <c r="L24" i="158"/>
  <c r="K24" i="158"/>
  <c r="J24" i="158"/>
  <c r="I24" i="158"/>
  <c r="H24" i="158"/>
  <c r="G24" i="158"/>
  <c r="F24" i="158"/>
  <c r="E24" i="158"/>
  <c r="D24" i="158"/>
  <c r="C24" i="158"/>
  <c r="B24" i="158"/>
  <c r="O25" i="158" s="1"/>
  <c r="P23" i="158"/>
  <c r="O23" i="158"/>
  <c r="P22" i="158"/>
  <c r="O22" i="158"/>
  <c r="P21" i="158"/>
  <c r="O21" i="158"/>
  <c r="P20" i="158"/>
  <c r="O20" i="158"/>
  <c r="P19" i="158"/>
  <c r="O19" i="158"/>
  <c r="P18" i="158"/>
  <c r="O18" i="158"/>
  <c r="P17" i="158"/>
  <c r="O17" i="158"/>
  <c r="P16" i="158"/>
  <c r="O16" i="158"/>
  <c r="P15" i="158"/>
  <c r="O15" i="158"/>
  <c r="P14" i="158"/>
  <c r="O14" i="158"/>
  <c r="P13" i="158"/>
  <c r="O13" i="158"/>
  <c r="P12" i="158"/>
  <c r="O12" i="158"/>
  <c r="P11" i="158"/>
  <c r="O11" i="158"/>
  <c r="P10" i="158"/>
  <c r="O10" i="158"/>
  <c r="P9" i="158"/>
  <c r="O9" i="158"/>
  <c r="P8" i="158"/>
  <c r="O8" i="158"/>
  <c r="P7" i="158"/>
  <c r="O7" i="158"/>
  <c r="P6" i="158"/>
  <c r="O6" i="158"/>
  <c r="P5" i="158"/>
  <c r="O5" i="158"/>
  <c r="P4" i="158"/>
  <c r="P24" i="158" s="1"/>
  <c r="B27" i="158" s="1"/>
  <c r="O4" i="158"/>
  <c r="O24" i="158" s="1"/>
  <c r="F32" i="158" s="1"/>
  <c r="G58" i="157"/>
  <c r="B35" i="157"/>
  <c r="B34" i="157"/>
  <c r="B33" i="157"/>
  <c r="N24" i="157"/>
  <c r="M24" i="157"/>
  <c r="L24" i="157"/>
  <c r="K24" i="157"/>
  <c r="J24" i="157"/>
  <c r="I24" i="157"/>
  <c r="H24" i="157"/>
  <c r="G24" i="157"/>
  <c r="F24" i="157"/>
  <c r="E24" i="157"/>
  <c r="D24" i="157"/>
  <c r="C24" i="157"/>
  <c r="P25" i="157" s="1"/>
  <c r="B24" i="157"/>
  <c r="P23" i="157"/>
  <c r="O23" i="157"/>
  <c r="P22" i="157"/>
  <c r="O22" i="157"/>
  <c r="P21" i="157"/>
  <c r="O21" i="157"/>
  <c r="P20" i="157"/>
  <c r="O20" i="157"/>
  <c r="P19" i="157"/>
  <c r="O19" i="157"/>
  <c r="P18" i="157"/>
  <c r="O18" i="157"/>
  <c r="P17" i="157"/>
  <c r="O17" i="157"/>
  <c r="P16" i="157"/>
  <c r="O16" i="157"/>
  <c r="P15" i="157"/>
  <c r="O15" i="157"/>
  <c r="P14" i="157"/>
  <c r="O14" i="157"/>
  <c r="P13" i="157"/>
  <c r="O13" i="157"/>
  <c r="P12" i="157"/>
  <c r="O12" i="157"/>
  <c r="P11" i="157"/>
  <c r="O11" i="157"/>
  <c r="P10" i="157"/>
  <c r="O10" i="157"/>
  <c r="P9" i="157"/>
  <c r="O9" i="157"/>
  <c r="P8" i="157"/>
  <c r="O8" i="157"/>
  <c r="P7" i="157"/>
  <c r="O7" i="157"/>
  <c r="P6" i="157"/>
  <c r="O6" i="157"/>
  <c r="P5" i="157"/>
  <c r="O5" i="157"/>
  <c r="P4" i="157"/>
  <c r="P24" i="157" s="1"/>
  <c r="B27" i="157" s="1"/>
  <c r="O4" i="157"/>
  <c r="G58" i="156"/>
  <c r="B35" i="156"/>
  <c r="B34" i="156"/>
  <c r="B33" i="156"/>
  <c r="N24" i="156"/>
  <c r="M24" i="156"/>
  <c r="L24" i="156"/>
  <c r="K24" i="156"/>
  <c r="J24" i="156"/>
  <c r="I24" i="156"/>
  <c r="H24" i="156"/>
  <c r="G24" i="156"/>
  <c r="F24" i="156"/>
  <c r="E24" i="156"/>
  <c r="D24" i="156"/>
  <c r="C24" i="156"/>
  <c r="P25" i="156" s="1"/>
  <c r="B24" i="156"/>
  <c r="P23" i="156"/>
  <c r="O23" i="156"/>
  <c r="P22" i="156"/>
  <c r="O22" i="156"/>
  <c r="P21" i="156"/>
  <c r="O21" i="156"/>
  <c r="P20" i="156"/>
  <c r="O20" i="156"/>
  <c r="P19" i="156"/>
  <c r="O19" i="156"/>
  <c r="P18" i="156"/>
  <c r="O18" i="156"/>
  <c r="P17" i="156"/>
  <c r="O17" i="156"/>
  <c r="P16" i="156"/>
  <c r="O16" i="156"/>
  <c r="P15" i="156"/>
  <c r="O15" i="156"/>
  <c r="P14" i="156"/>
  <c r="O14" i="156"/>
  <c r="P13" i="156"/>
  <c r="O13" i="156"/>
  <c r="P12" i="156"/>
  <c r="O12" i="156"/>
  <c r="P11" i="156"/>
  <c r="O11" i="156"/>
  <c r="P10" i="156"/>
  <c r="O10" i="156"/>
  <c r="P9" i="156"/>
  <c r="O9" i="156"/>
  <c r="P8" i="156"/>
  <c r="O8" i="156"/>
  <c r="P7" i="156"/>
  <c r="O7" i="156"/>
  <c r="P6" i="156"/>
  <c r="O6" i="156"/>
  <c r="P5" i="156"/>
  <c r="O5" i="156"/>
  <c r="P4" i="156"/>
  <c r="P24" i="156" s="1"/>
  <c r="B27" i="156" s="1"/>
  <c r="O4" i="156"/>
  <c r="G58" i="155"/>
  <c r="B35" i="155"/>
  <c r="B34" i="155"/>
  <c r="B33" i="155"/>
  <c r="N24" i="155"/>
  <c r="M24" i="155"/>
  <c r="L24" i="155"/>
  <c r="K24" i="155"/>
  <c r="J24" i="155"/>
  <c r="I24" i="155"/>
  <c r="H24" i="155"/>
  <c r="G24" i="155"/>
  <c r="F24" i="155"/>
  <c r="E24" i="155"/>
  <c r="D24" i="155"/>
  <c r="C24" i="155"/>
  <c r="B24" i="155"/>
  <c r="P23" i="155"/>
  <c r="O23" i="155"/>
  <c r="P22" i="155"/>
  <c r="O22" i="155"/>
  <c r="P21" i="155"/>
  <c r="O21" i="155"/>
  <c r="P20" i="155"/>
  <c r="O20" i="155"/>
  <c r="P19" i="155"/>
  <c r="O19" i="155"/>
  <c r="P18" i="155"/>
  <c r="O18" i="155"/>
  <c r="P17" i="155"/>
  <c r="O17" i="155"/>
  <c r="P16" i="155"/>
  <c r="O16" i="155"/>
  <c r="P15" i="155"/>
  <c r="O15" i="155"/>
  <c r="P14" i="155"/>
  <c r="O14" i="155"/>
  <c r="P13" i="155"/>
  <c r="O13" i="155"/>
  <c r="P12" i="155"/>
  <c r="O12" i="155"/>
  <c r="P11" i="155"/>
  <c r="O11" i="155"/>
  <c r="P10" i="155"/>
  <c r="O10" i="155"/>
  <c r="P9" i="155"/>
  <c r="O9" i="155"/>
  <c r="P8" i="155"/>
  <c r="O8" i="155"/>
  <c r="P7" i="155"/>
  <c r="O7" i="155"/>
  <c r="P6" i="155"/>
  <c r="O6" i="155"/>
  <c r="P5" i="155"/>
  <c r="O5" i="155"/>
  <c r="P4" i="155"/>
  <c r="O4" i="155"/>
  <c r="G58" i="154"/>
  <c r="B35" i="154"/>
  <c r="B34" i="154"/>
  <c r="B33" i="154"/>
  <c r="N24" i="154"/>
  <c r="M24" i="154"/>
  <c r="L24" i="154"/>
  <c r="K24" i="154"/>
  <c r="J24" i="154"/>
  <c r="I24" i="154"/>
  <c r="G24" i="154"/>
  <c r="F24" i="154"/>
  <c r="E24" i="154"/>
  <c r="D24" i="154"/>
  <c r="C24" i="154"/>
  <c r="B24" i="154"/>
  <c r="P23" i="154"/>
  <c r="O23" i="154"/>
  <c r="P22" i="154"/>
  <c r="O22" i="154"/>
  <c r="P21" i="154"/>
  <c r="O21" i="154"/>
  <c r="P20" i="154"/>
  <c r="O20" i="154"/>
  <c r="P19" i="154"/>
  <c r="O19" i="154"/>
  <c r="P18" i="154"/>
  <c r="O18" i="154"/>
  <c r="P17" i="154"/>
  <c r="O17" i="154"/>
  <c r="P16" i="154"/>
  <c r="O16" i="154"/>
  <c r="P15" i="154"/>
  <c r="O15" i="154"/>
  <c r="P14" i="154"/>
  <c r="O14" i="154"/>
  <c r="P13" i="154"/>
  <c r="O13" i="154"/>
  <c r="P12" i="154"/>
  <c r="O12" i="154"/>
  <c r="P11" i="154"/>
  <c r="O11" i="154"/>
  <c r="P10" i="154"/>
  <c r="O10" i="154"/>
  <c r="P9" i="154"/>
  <c r="O9" i="154"/>
  <c r="P8" i="154"/>
  <c r="O8" i="154"/>
  <c r="P7" i="154"/>
  <c r="O7" i="154"/>
  <c r="P6" i="154"/>
  <c r="O6" i="154"/>
  <c r="P5" i="154"/>
  <c r="O5" i="154"/>
  <c r="P4" i="154"/>
  <c r="P24" i="154" s="1"/>
  <c r="B27" i="154" s="1"/>
  <c r="O4" i="154"/>
  <c r="O24" i="154" s="1"/>
  <c r="F32" i="154" s="1"/>
  <c r="G58" i="153"/>
  <c r="B35" i="153"/>
  <c r="B34" i="153"/>
  <c r="B33" i="153"/>
  <c r="N24" i="153"/>
  <c r="M24" i="153"/>
  <c r="L24" i="153"/>
  <c r="K24" i="153"/>
  <c r="J24" i="153"/>
  <c r="I24" i="153"/>
  <c r="H24" i="153"/>
  <c r="G24" i="153"/>
  <c r="F24" i="153"/>
  <c r="E24" i="153"/>
  <c r="D24" i="153"/>
  <c r="C24" i="153"/>
  <c r="P25" i="153" s="1"/>
  <c r="B24" i="153"/>
  <c r="O25" i="153" s="1"/>
  <c r="P23" i="153"/>
  <c r="O23" i="153"/>
  <c r="P22" i="153"/>
  <c r="O22" i="153"/>
  <c r="P21" i="153"/>
  <c r="O21" i="153"/>
  <c r="P20" i="153"/>
  <c r="O20" i="153"/>
  <c r="P19" i="153"/>
  <c r="O19" i="153"/>
  <c r="P18" i="153"/>
  <c r="O18" i="153"/>
  <c r="P17" i="153"/>
  <c r="O17" i="153"/>
  <c r="P16" i="153"/>
  <c r="O16" i="153"/>
  <c r="P15" i="153"/>
  <c r="O15" i="153"/>
  <c r="P14" i="153"/>
  <c r="O14" i="153"/>
  <c r="P13" i="153"/>
  <c r="O13" i="153"/>
  <c r="P12" i="153"/>
  <c r="O12" i="153"/>
  <c r="P11" i="153"/>
  <c r="O11" i="153"/>
  <c r="P10" i="153"/>
  <c r="O10" i="153"/>
  <c r="P9" i="153"/>
  <c r="O9" i="153"/>
  <c r="P8" i="153"/>
  <c r="O8" i="153"/>
  <c r="P7" i="153"/>
  <c r="O7" i="153"/>
  <c r="P6" i="153"/>
  <c r="O6" i="153"/>
  <c r="P5" i="153"/>
  <c r="O5" i="153"/>
  <c r="P4" i="153"/>
  <c r="P24" i="153" s="1"/>
  <c r="B27" i="153" s="1"/>
  <c r="O4" i="153"/>
  <c r="O24" i="153" s="1"/>
  <c r="F32" i="153" s="1"/>
  <c r="G58" i="152"/>
  <c r="B35" i="152"/>
  <c r="B34" i="152"/>
  <c r="B33" i="152"/>
  <c r="N24" i="152"/>
  <c r="M24" i="152"/>
  <c r="L24" i="152"/>
  <c r="K24" i="152"/>
  <c r="J24" i="152"/>
  <c r="I24" i="152"/>
  <c r="H24" i="152"/>
  <c r="G24" i="152"/>
  <c r="F24" i="152"/>
  <c r="E24" i="152"/>
  <c r="D24" i="152"/>
  <c r="C24" i="152"/>
  <c r="B24" i="152"/>
  <c r="P23" i="152"/>
  <c r="O23" i="152"/>
  <c r="P22" i="152"/>
  <c r="O22" i="152"/>
  <c r="P21" i="152"/>
  <c r="O21" i="152"/>
  <c r="P20" i="152"/>
  <c r="O20" i="152"/>
  <c r="P19" i="152"/>
  <c r="O19" i="152"/>
  <c r="P18" i="152"/>
  <c r="O18" i="152"/>
  <c r="P17" i="152"/>
  <c r="O17" i="152"/>
  <c r="P16" i="152"/>
  <c r="O16" i="152"/>
  <c r="P15" i="152"/>
  <c r="O15" i="152"/>
  <c r="P14" i="152"/>
  <c r="O14" i="152"/>
  <c r="P13" i="152"/>
  <c r="O13" i="152"/>
  <c r="P12" i="152"/>
  <c r="O12" i="152"/>
  <c r="P11" i="152"/>
  <c r="O11" i="152"/>
  <c r="P10" i="152"/>
  <c r="O10" i="152"/>
  <c r="P9" i="152"/>
  <c r="O9" i="152"/>
  <c r="P8" i="152"/>
  <c r="O8" i="152"/>
  <c r="P7" i="152"/>
  <c r="O7" i="152"/>
  <c r="P6" i="152"/>
  <c r="O6" i="152"/>
  <c r="P5" i="152"/>
  <c r="O5" i="152"/>
  <c r="P4" i="152"/>
  <c r="O4" i="152"/>
  <c r="G58" i="151"/>
  <c r="B35" i="151"/>
  <c r="B34" i="151"/>
  <c r="B33" i="151"/>
  <c r="N24" i="151"/>
  <c r="M24" i="151"/>
  <c r="L24" i="151"/>
  <c r="K24" i="151"/>
  <c r="J24" i="151"/>
  <c r="I24" i="151"/>
  <c r="H24" i="151"/>
  <c r="G24" i="151"/>
  <c r="F24" i="151"/>
  <c r="E24" i="151"/>
  <c r="D24" i="151"/>
  <c r="C24" i="151"/>
  <c r="B24" i="151"/>
  <c r="O25" i="151" s="1"/>
  <c r="P23" i="151"/>
  <c r="O23" i="151"/>
  <c r="P22" i="151"/>
  <c r="O22" i="151"/>
  <c r="P21" i="151"/>
  <c r="O21" i="151"/>
  <c r="P20" i="151"/>
  <c r="O20" i="151"/>
  <c r="P19" i="151"/>
  <c r="O19" i="151"/>
  <c r="P18" i="151"/>
  <c r="O18" i="151"/>
  <c r="P17" i="151"/>
  <c r="O17" i="151"/>
  <c r="P16" i="151"/>
  <c r="O16" i="151"/>
  <c r="P15" i="151"/>
  <c r="O15" i="151"/>
  <c r="P14" i="151"/>
  <c r="O14" i="151"/>
  <c r="P13" i="151"/>
  <c r="O13" i="151"/>
  <c r="P12" i="151"/>
  <c r="O12" i="151"/>
  <c r="P11" i="151"/>
  <c r="O11" i="151"/>
  <c r="P10" i="151"/>
  <c r="O10" i="151"/>
  <c r="P9" i="151"/>
  <c r="O9" i="151"/>
  <c r="P8" i="151"/>
  <c r="O8" i="151"/>
  <c r="P7" i="151"/>
  <c r="O7" i="151"/>
  <c r="P6" i="151"/>
  <c r="O6" i="151"/>
  <c r="P5" i="151"/>
  <c r="O5" i="151"/>
  <c r="P4" i="151"/>
  <c r="O4" i="151"/>
  <c r="O24" i="151" s="1"/>
  <c r="F32" i="151" s="1"/>
  <c r="G58" i="150"/>
  <c r="B35" i="150"/>
  <c r="B34" i="150"/>
  <c r="B33" i="150"/>
  <c r="N24" i="150"/>
  <c r="M24" i="150"/>
  <c r="L24" i="150"/>
  <c r="K24" i="150"/>
  <c r="J24" i="150"/>
  <c r="I24" i="150"/>
  <c r="H24" i="150"/>
  <c r="G24" i="150"/>
  <c r="F24" i="150"/>
  <c r="E24" i="150"/>
  <c r="D24" i="150"/>
  <c r="C24" i="150"/>
  <c r="P25" i="150" s="1"/>
  <c r="B24" i="150"/>
  <c r="O25" i="150" s="1"/>
  <c r="P23" i="150"/>
  <c r="O23" i="150"/>
  <c r="P22" i="150"/>
  <c r="O22" i="150"/>
  <c r="P21" i="150"/>
  <c r="O21" i="150"/>
  <c r="P20" i="150"/>
  <c r="O20" i="150"/>
  <c r="P19" i="150"/>
  <c r="O19" i="150"/>
  <c r="P18" i="150"/>
  <c r="O18" i="150"/>
  <c r="P17" i="150"/>
  <c r="O17" i="150"/>
  <c r="P16" i="150"/>
  <c r="O16" i="150"/>
  <c r="P15" i="150"/>
  <c r="O15" i="150"/>
  <c r="P14" i="150"/>
  <c r="O14" i="150"/>
  <c r="P13" i="150"/>
  <c r="O13" i="150"/>
  <c r="P12" i="150"/>
  <c r="O12" i="150"/>
  <c r="P11" i="150"/>
  <c r="O11" i="150"/>
  <c r="P10" i="150"/>
  <c r="O10" i="150"/>
  <c r="P9" i="150"/>
  <c r="O9" i="150"/>
  <c r="P8" i="150"/>
  <c r="O8" i="150"/>
  <c r="P7" i="150"/>
  <c r="O7" i="150"/>
  <c r="P6" i="150"/>
  <c r="O6" i="150"/>
  <c r="P5" i="150"/>
  <c r="O5" i="150"/>
  <c r="P4" i="150"/>
  <c r="P24" i="150" s="1"/>
  <c r="B27" i="150" s="1"/>
  <c r="O4" i="150"/>
  <c r="O24" i="150" s="1"/>
  <c r="F32" i="150" s="1"/>
  <c r="G58" i="149"/>
  <c r="B35" i="149"/>
  <c r="B34" i="149"/>
  <c r="B33" i="149"/>
  <c r="N24" i="149"/>
  <c r="M24" i="149"/>
  <c r="L24" i="149"/>
  <c r="K24" i="149"/>
  <c r="J24" i="149"/>
  <c r="I24" i="149"/>
  <c r="H24" i="149"/>
  <c r="G24" i="149"/>
  <c r="F24" i="149"/>
  <c r="E24" i="149"/>
  <c r="D24" i="149"/>
  <c r="C24" i="149"/>
  <c r="P25" i="149" s="1"/>
  <c r="B24" i="149"/>
  <c r="P23" i="149"/>
  <c r="O23" i="149"/>
  <c r="P22" i="149"/>
  <c r="O22" i="149"/>
  <c r="P21" i="149"/>
  <c r="O21" i="149"/>
  <c r="P20" i="149"/>
  <c r="O20" i="149"/>
  <c r="P19" i="149"/>
  <c r="O19" i="149"/>
  <c r="P18" i="149"/>
  <c r="O18" i="149"/>
  <c r="P17" i="149"/>
  <c r="O17" i="149"/>
  <c r="P16" i="149"/>
  <c r="O16" i="149"/>
  <c r="P15" i="149"/>
  <c r="O15" i="149"/>
  <c r="P14" i="149"/>
  <c r="O14" i="149"/>
  <c r="P13" i="149"/>
  <c r="O13" i="149"/>
  <c r="P12" i="149"/>
  <c r="O12" i="149"/>
  <c r="P11" i="149"/>
  <c r="O11" i="149"/>
  <c r="P10" i="149"/>
  <c r="O10" i="149"/>
  <c r="P9" i="149"/>
  <c r="O9" i="149"/>
  <c r="P8" i="149"/>
  <c r="O8" i="149"/>
  <c r="P7" i="149"/>
  <c r="O7" i="149"/>
  <c r="P6" i="149"/>
  <c r="O6" i="149"/>
  <c r="P5" i="149"/>
  <c r="O5" i="149"/>
  <c r="P4" i="149"/>
  <c r="P24" i="149" s="1"/>
  <c r="B27" i="149" s="1"/>
  <c r="O4" i="149"/>
  <c r="G58" i="148"/>
  <c r="B35" i="148"/>
  <c r="B34" i="148"/>
  <c r="B33" i="148"/>
  <c r="N24" i="148"/>
  <c r="M24" i="148"/>
  <c r="L24" i="148"/>
  <c r="K24" i="148"/>
  <c r="J24" i="148"/>
  <c r="I24" i="148"/>
  <c r="H24" i="148"/>
  <c r="G24" i="148"/>
  <c r="F24" i="148"/>
  <c r="E24" i="148"/>
  <c r="D24" i="148"/>
  <c r="C24" i="148"/>
  <c r="B24" i="148"/>
  <c r="P23" i="148"/>
  <c r="O23" i="148"/>
  <c r="P22" i="148"/>
  <c r="O22" i="148"/>
  <c r="P21" i="148"/>
  <c r="O21" i="148"/>
  <c r="P20" i="148"/>
  <c r="O20" i="148"/>
  <c r="P19" i="148"/>
  <c r="O19" i="148"/>
  <c r="P18" i="148"/>
  <c r="O18" i="148"/>
  <c r="P17" i="148"/>
  <c r="O17" i="148"/>
  <c r="P16" i="148"/>
  <c r="O16" i="148"/>
  <c r="P15" i="148"/>
  <c r="O15" i="148"/>
  <c r="P14" i="148"/>
  <c r="O14" i="148"/>
  <c r="P13" i="148"/>
  <c r="O13" i="148"/>
  <c r="P12" i="148"/>
  <c r="O12" i="148"/>
  <c r="P11" i="148"/>
  <c r="O11" i="148"/>
  <c r="P10" i="148"/>
  <c r="O10" i="148"/>
  <c r="P9" i="148"/>
  <c r="O9" i="148"/>
  <c r="P8" i="148"/>
  <c r="O8" i="148"/>
  <c r="P7" i="148"/>
  <c r="O7" i="148"/>
  <c r="P6" i="148"/>
  <c r="O6" i="148"/>
  <c r="P5" i="148"/>
  <c r="O5" i="148"/>
  <c r="P4" i="148"/>
  <c r="P24" i="148" s="1"/>
  <c r="B27" i="148" s="1"/>
  <c r="O4" i="148"/>
  <c r="G58" i="147"/>
  <c r="B35" i="147"/>
  <c r="B34" i="147"/>
  <c r="B33" i="147"/>
  <c r="N24" i="147"/>
  <c r="M24" i="147"/>
  <c r="L24" i="147"/>
  <c r="K24" i="147"/>
  <c r="J24" i="147"/>
  <c r="I24" i="147"/>
  <c r="H24" i="147"/>
  <c r="G24" i="147"/>
  <c r="F24" i="147"/>
  <c r="E24" i="147"/>
  <c r="D24" i="147"/>
  <c r="C24" i="147"/>
  <c r="B24" i="147"/>
  <c r="P23" i="147"/>
  <c r="O23" i="147"/>
  <c r="AM21" i="57" s="1"/>
  <c r="P22" i="147"/>
  <c r="O22" i="147"/>
  <c r="AM20" i="57" s="1"/>
  <c r="P21" i="147"/>
  <c r="O21" i="147"/>
  <c r="AM19" i="57" s="1"/>
  <c r="P20" i="147"/>
  <c r="O20" i="147"/>
  <c r="AM18" i="57" s="1"/>
  <c r="P19" i="147"/>
  <c r="O19" i="147"/>
  <c r="AM17" i="57" s="1"/>
  <c r="P18" i="147"/>
  <c r="O18" i="147"/>
  <c r="AM16" i="57" s="1"/>
  <c r="P17" i="147"/>
  <c r="O17" i="147"/>
  <c r="AM15" i="57" s="1"/>
  <c r="P16" i="147"/>
  <c r="O16" i="147"/>
  <c r="AM14" i="57" s="1"/>
  <c r="P15" i="147"/>
  <c r="O15" i="147"/>
  <c r="AM13" i="57" s="1"/>
  <c r="P14" i="147"/>
  <c r="O14" i="147"/>
  <c r="AM12" i="57" s="1"/>
  <c r="P13" i="147"/>
  <c r="O13" i="147"/>
  <c r="AM11" i="57" s="1"/>
  <c r="P12" i="147"/>
  <c r="O12" i="147"/>
  <c r="AM10" i="57" s="1"/>
  <c r="P11" i="147"/>
  <c r="O11" i="147"/>
  <c r="AM9" i="57" s="1"/>
  <c r="P10" i="147"/>
  <c r="O10" i="147"/>
  <c r="AM8" i="57" s="1"/>
  <c r="P9" i="147"/>
  <c r="O9" i="147"/>
  <c r="AM7" i="57" s="1"/>
  <c r="P8" i="147"/>
  <c r="O8" i="147"/>
  <c r="AM6" i="57" s="1"/>
  <c r="P7" i="147"/>
  <c r="O7" i="147"/>
  <c r="AM5" i="57" s="1"/>
  <c r="P6" i="147"/>
  <c r="O6" i="147"/>
  <c r="AM4" i="57" s="1"/>
  <c r="P5" i="147"/>
  <c r="O5" i="147"/>
  <c r="AM3" i="57" s="1"/>
  <c r="P4" i="147"/>
  <c r="O4" i="147"/>
  <c r="AM2" i="57" s="1"/>
  <c r="G58" i="146"/>
  <c r="B35" i="146"/>
  <c r="B34" i="146"/>
  <c r="B33" i="146"/>
  <c r="N24" i="146"/>
  <c r="M24" i="146"/>
  <c r="L24" i="146"/>
  <c r="K24" i="146"/>
  <c r="J24" i="146"/>
  <c r="I24" i="146"/>
  <c r="H24" i="146"/>
  <c r="G24" i="146"/>
  <c r="F24" i="146"/>
  <c r="E24" i="146"/>
  <c r="D24" i="146"/>
  <c r="C24" i="146"/>
  <c r="P25" i="146" s="1"/>
  <c r="B24" i="146"/>
  <c r="O25" i="146" s="1"/>
  <c r="P23" i="146"/>
  <c r="O23" i="146"/>
  <c r="AL21" i="57" s="1"/>
  <c r="P22" i="146"/>
  <c r="O22" i="146"/>
  <c r="AL20" i="57" s="1"/>
  <c r="P21" i="146"/>
  <c r="O21" i="146"/>
  <c r="AL19" i="57" s="1"/>
  <c r="P20" i="146"/>
  <c r="O20" i="146"/>
  <c r="AL18" i="57" s="1"/>
  <c r="P19" i="146"/>
  <c r="O19" i="146"/>
  <c r="AL17" i="57" s="1"/>
  <c r="P18" i="146"/>
  <c r="O18" i="146"/>
  <c r="AL16" i="57" s="1"/>
  <c r="P17" i="146"/>
  <c r="O17" i="146"/>
  <c r="AL15" i="57" s="1"/>
  <c r="P16" i="146"/>
  <c r="O16" i="146"/>
  <c r="AL14" i="57" s="1"/>
  <c r="P15" i="146"/>
  <c r="O15" i="146"/>
  <c r="AL13" i="57" s="1"/>
  <c r="P14" i="146"/>
  <c r="O14" i="146"/>
  <c r="AL12" i="57" s="1"/>
  <c r="P13" i="146"/>
  <c r="O13" i="146"/>
  <c r="AL11" i="57" s="1"/>
  <c r="P12" i="146"/>
  <c r="O12" i="146"/>
  <c r="AL10" i="57" s="1"/>
  <c r="P11" i="146"/>
  <c r="O11" i="146"/>
  <c r="AL9" i="57" s="1"/>
  <c r="P10" i="146"/>
  <c r="O10" i="146"/>
  <c r="AL8" i="57" s="1"/>
  <c r="P9" i="146"/>
  <c r="O9" i="146"/>
  <c r="AL7" i="57" s="1"/>
  <c r="P8" i="146"/>
  <c r="O8" i="146"/>
  <c r="AL6" i="57" s="1"/>
  <c r="P7" i="146"/>
  <c r="O7" i="146"/>
  <c r="AL5" i="57" s="1"/>
  <c r="P6" i="146"/>
  <c r="O6" i="146"/>
  <c r="AL4" i="57" s="1"/>
  <c r="P5" i="146"/>
  <c r="O5" i="146"/>
  <c r="AL3" i="57" s="1"/>
  <c r="P4" i="146"/>
  <c r="P24" i="146" s="1"/>
  <c r="B27" i="146" s="1"/>
  <c r="O4" i="146"/>
  <c r="G58" i="145"/>
  <c r="B35" i="145"/>
  <c r="B34" i="145"/>
  <c r="B33" i="145"/>
  <c r="N24" i="145"/>
  <c r="M24" i="145"/>
  <c r="L24" i="145"/>
  <c r="K24" i="145"/>
  <c r="J24" i="145"/>
  <c r="I24" i="145"/>
  <c r="H24" i="145"/>
  <c r="G24" i="145"/>
  <c r="F24" i="145"/>
  <c r="E24" i="145"/>
  <c r="D24" i="145"/>
  <c r="C24" i="145"/>
  <c r="P25" i="145" s="1"/>
  <c r="B24" i="145"/>
  <c r="P23" i="145"/>
  <c r="O23" i="145"/>
  <c r="AK21" i="57" s="1"/>
  <c r="P22" i="145"/>
  <c r="O22" i="145"/>
  <c r="AK20" i="57" s="1"/>
  <c r="P21" i="145"/>
  <c r="O21" i="145"/>
  <c r="AK19" i="57" s="1"/>
  <c r="P20" i="145"/>
  <c r="O20" i="145"/>
  <c r="AK18" i="57" s="1"/>
  <c r="P19" i="145"/>
  <c r="O19" i="145"/>
  <c r="AK17" i="57" s="1"/>
  <c r="P18" i="145"/>
  <c r="O18" i="145"/>
  <c r="AK16" i="57" s="1"/>
  <c r="P17" i="145"/>
  <c r="O17" i="145"/>
  <c r="AK15" i="57" s="1"/>
  <c r="P16" i="145"/>
  <c r="O16" i="145"/>
  <c r="AK14" i="57" s="1"/>
  <c r="O15" i="145"/>
  <c r="AK13" i="57" s="1"/>
  <c r="P14" i="145"/>
  <c r="O14" i="145"/>
  <c r="AK12" i="57" s="1"/>
  <c r="P13" i="145"/>
  <c r="O13" i="145"/>
  <c r="AK11" i="57" s="1"/>
  <c r="P12" i="145"/>
  <c r="O12" i="145"/>
  <c r="AK10" i="57" s="1"/>
  <c r="P11" i="145"/>
  <c r="O11" i="145"/>
  <c r="AK9" i="57" s="1"/>
  <c r="P10" i="145"/>
  <c r="O10" i="145"/>
  <c r="AK8" i="57" s="1"/>
  <c r="P9" i="145"/>
  <c r="O9" i="145"/>
  <c r="AK7" i="57" s="1"/>
  <c r="P8" i="145"/>
  <c r="O8" i="145"/>
  <c r="AK6" i="57" s="1"/>
  <c r="P7" i="145"/>
  <c r="O7" i="145"/>
  <c r="AK5" i="57" s="1"/>
  <c r="P6" i="145"/>
  <c r="O6" i="145"/>
  <c r="AK4" i="57" s="1"/>
  <c r="P5" i="145"/>
  <c r="O5" i="145"/>
  <c r="AK3" i="57" s="1"/>
  <c r="P4" i="145"/>
  <c r="O4" i="145"/>
  <c r="G58" i="144"/>
  <c r="B35" i="144"/>
  <c r="B34" i="144"/>
  <c r="B33" i="144"/>
  <c r="N24" i="144"/>
  <c r="M24" i="144"/>
  <c r="L24" i="144"/>
  <c r="K24" i="144"/>
  <c r="J24" i="144"/>
  <c r="I24" i="144"/>
  <c r="G24" i="144"/>
  <c r="F24" i="144"/>
  <c r="E24" i="144"/>
  <c r="D24" i="144"/>
  <c r="C24" i="144"/>
  <c r="B24" i="144"/>
  <c r="P23" i="144"/>
  <c r="O23" i="144"/>
  <c r="AJ21" i="57" s="1"/>
  <c r="P22" i="144"/>
  <c r="O22" i="144"/>
  <c r="AJ20" i="57" s="1"/>
  <c r="P21" i="144"/>
  <c r="O21" i="144"/>
  <c r="AJ19" i="57" s="1"/>
  <c r="P20" i="144"/>
  <c r="O20" i="144"/>
  <c r="AJ18" i="57" s="1"/>
  <c r="P19" i="144"/>
  <c r="O19" i="144"/>
  <c r="AJ17" i="57" s="1"/>
  <c r="P18" i="144"/>
  <c r="O18" i="144"/>
  <c r="AJ16" i="57" s="1"/>
  <c r="P17" i="144"/>
  <c r="O17" i="144"/>
  <c r="AJ15" i="57" s="1"/>
  <c r="P16" i="144"/>
  <c r="O16" i="144"/>
  <c r="AJ14" i="57" s="1"/>
  <c r="P15" i="144"/>
  <c r="O15" i="144"/>
  <c r="AJ13" i="57" s="1"/>
  <c r="P14" i="144"/>
  <c r="O14" i="144"/>
  <c r="AJ12" i="57" s="1"/>
  <c r="P13" i="144"/>
  <c r="O13" i="144"/>
  <c r="AJ11" i="57" s="1"/>
  <c r="P12" i="144"/>
  <c r="O12" i="144"/>
  <c r="AJ10" i="57" s="1"/>
  <c r="P11" i="144"/>
  <c r="O11" i="144"/>
  <c r="AJ9" i="57" s="1"/>
  <c r="P10" i="144"/>
  <c r="O10" i="144"/>
  <c r="AJ8" i="57" s="1"/>
  <c r="P9" i="144"/>
  <c r="O9" i="144"/>
  <c r="AJ7" i="57" s="1"/>
  <c r="P8" i="144"/>
  <c r="O8" i="144"/>
  <c r="AJ6" i="57" s="1"/>
  <c r="P7" i="144"/>
  <c r="O7" i="144"/>
  <c r="AJ5" i="57" s="1"/>
  <c r="P6" i="144"/>
  <c r="O6" i="144"/>
  <c r="AJ4" i="57" s="1"/>
  <c r="P5" i="144"/>
  <c r="O5" i="144"/>
  <c r="AJ3" i="57" s="1"/>
  <c r="P4" i="144"/>
  <c r="P24" i="144" s="1"/>
  <c r="B27" i="144" s="1"/>
  <c r="O4" i="144"/>
  <c r="G58" i="143"/>
  <c r="B35" i="143"/>
  <c r="B34" i="143"/>
  <c r="N24" i="143"/>
  <c r="M24" i="143"/>
  <c r="L24" i="143"/>
  <c r="K24" i="143"/>
  <c r="J24" i="143"/>
  <c r="I24" i="143"/>
  <c r="H24" i="143"/>
  <c r="G24" i="143"/>
  <c r="F24" i="143"/>
  <c r="E24" i="143"/>
  <c r="D24" i="143"/>
  <c r="C24" i="143"/>
  <c r="P25" i="143" s="1"/>
  <c r="B24" i="143"/>
  <c r="P23" i="143"/>
  <c r="O23" i="143"/>
  <c r="AI21" i="57" s="1"/>
  <c r="P22" i="143"/>
  <c r="O22" i="143"/>
  <c r="AI20" i="57" s="1"/>
  <c r="P21" i="143"/>
  <c r="O21" i="143"/>
  <c r="AI19" i="57" s="1"/>
  <c r="P20" i="143"/>
  <c r="O20" i="143"/>
  <c r="AI18" i="57" s="1"/>
  <c r="P19" i="143"/>
  <c r="O19" i="143"/>
  <c r="AI17" i="57" s="1"/>
  <c r="P18" i="143"/>
  <c r="O18" i="143"/>
  <c r="AI16" i="57" s="1"/>
  <c r="P17" i="143"/>
  <c r="O17" i="143"/>
  <c r="AI15" i="57" s="1"/>
  <c r="P16" i="143"/>
  <c r="O16" i="143"/>
  <c r="AI14" i="57" s="1"/>
  <c r="P15" i="143"/>
  <c r="O15" i="143"/>
  <c r="AI13" i="57" s="1"/>
  <c r="P14" i="143"/>
  <c r="O14" i="143"/>
  <c r="AI12" i="57" s="1"/>
  <c r="P13" i="143"/>
  <c r="O13" i="143"/>
  <c r="AI11" i="57" s="1"/>
  <c r="P12" i="143"/>
  <c r="O12" i="143"/>
  <c r="AI10" i="57" s="1"/>
  <c r="P11" i="143"/>
  <c r="O11" i="143"/>
  <c r="AI9" i="57" s="1"/>
  <c r="P10" i="143"/>
  <c r="O10" i="143"/>
  <c r="AI8" i="57" s="1"/>
  <c r="P9" i="143"/>
  <c r="O9" i="143"/>
  <c r="AI7" i="57" s="1"/>
  <c r="P8" i="143"/>
  <c r="O8" i="143"/>
  <c r="AI6" i="57" s="1"/>
  <c r="P7" i="143"/>
  <c r="O7" i="143"/>
  <c r="AI5" i="57" s="1"/>
  <c r="P6" i="143"/>
  <c r="O6" i="143"/>
  <c r="AI4" i="57" s="1"/>
  <c r="P5" i="143"/>
  <c r="O5" i="143"/>
  <c r="AI3" i="57" s="1"/>
  <c r="P4" i="143"/>
  <c r="P24" i="143" s="1"/>
  <c r="B27" i="143" s="1"/>
  <c r="O4" i="143"/>
  <c r="G58" i="142"/>
  <c r="B35" i="142"/>
  <c r="B34" i="142"/>
  <c r="B33" i="142"/>
  <c r="N24" i="142"/>
  <c r="M24" i="142"/>
  <c r="L24" i="142"/>
  <c r="K24" i="142"/>
  <c r="J24" i="142"/>
  <c r="I24" i="142"/>
  <c r="H24" i="142"/>
  <c r="G24" i="142"/>
  <c r="F24" i="142"/>
  <c r="E24" i="142"/>
  <c r="D24" i="142"/>
  <c r="C24" i="142"/>
  <c r="B24" i="142"/>
  <c r="P23" i="142"/>
  <c r="O23" i="142"/>
  <c r="AH21" i="57" s="1"/>
  <c r="P22" i="142"/>
  <c r="O22" i="142"/>
  <c r="AH20" i="57" s="1"/>
  <c r="P21" i="142"/>
  <c r="O21" i="142"/>
  <c r="AH19" i="57" s="1"/>
  <c r="P20" i="142"/>
  <c r="O20" i="142"/>
  <c r="AH18" i="57" s="1"/>
  <c r="P19" i="142"/>
  <c r="O19" i="142"/>
  <c r="AH17" i="57" s="1"/>
  <c r="P18" i="142"/>
  <c r="O18" i="142"/>
  <c r="AH16" i="57" s="1"/>
  <c r="P17" i="142"/>
  <c r="O17" i="142"/>
  <c r="AH15" i="57" s="1"/>
  <c r="P16" i="142"/>
  <c r="O16" i="142"/>
  <c r="AH14" i="57" s="1"/>
  <c r="P15" i="142"/>
  <c r="O15" i="142"/>
  <c r="AH13" i="57" s="1"/>
  <c r="P14" i="142"/>
  <c r="O14" i="142"/>
  <c r="AH12" i="57" s="1"/>
  <c r="P13" i="142"/>
  <c r="O13" i="142"/>
  <c r="AH11" i="57" s="1"/>
  <c r="P12" i="142"/>
  <c r="O12" i="142"/>
  <c r="AH10" i="57" s="1"/>
  <c r="P11" i="142"/>
  <c r="O11" i="142"/>
  <c r="AH9" i="57" s="1"/>
  <c r="P10" i="142"/>
  <c r="O10" i="142"/>
  <c r="AH8" i="57" s="1"/>
  <c r="P9" i="142"/>
  <c r="O9" i="142"/>
  <c r="AH7" i="57" s="1"/>
  <c r="P8" i="142"/>
  <c r="O8" i="142"/>
  <c r="AH6" i="57" s="1"/>
  <c r="P7" i="142"/>
  <c r="O7" i="142"/>
  <c r="AH5" i="57" s="1"/>
  <c r="P6" i="142"/>
  <c r="O6" i="142"/>
  <c r="AH4" i="57" s="1"/>
  <c r="P5" i="142"/>
  <c r="O5" i="142"/>
  <c r="AH3" i="57" s="1"/>
  <c r="P4" i="142"/>
  <c r="O4" i="142"/>
  <c r="AH2" i="57" s="1"/>
  <c r="G58" i="141"/>
  <c r="B35" i="141"/>
  <c r="B34" i="141"/>
  <c r="B33" i="141"/>
  <c r="N24" i="141"/>
  <c r="M24" i="141"/>
  <c r="L24" i="141"/>
  <c r="K24" i="141"/>
  <c r="J24" i="141"/>
  <c r="I24" i="141"/>
  <c r="H24" i="141"/>
  <c r="G24" i="141"/>
  <c r="F24" i="141"/>
  <c r="E24" i="141"/>
  <c r="D24" i="141"/>
  <c r="C24" i="141"/>
  <c r="B24" i="141"/>
  <c r="P23" i="141"/>
  <c r="O23" i="141"/>
  <c r="AG21" i="57" s="1"/>
  <c r="P22" i="141"/>
  <c r="O22" i="141"/>
  <c r="AG20" i="57" s="1"/>
  <c r="P21" i="141"/>
  <c r="O21" i="141"/>
  <c r="AG19" i="57" s="1"/>
  <c r="P20" i="141"/>
  <c r="O20" i="141"/>
  <c r="AG18" i="57" s="1"/>
  <c r="P19" i="141"/>
  <c r="O19" i="141"/>
  <c r="AG17" i="57" s="1"/>
  <c r="P18" i="141"/>
  <c r="O18" i="141"/>
  <c r="AG16" i="57" s="1"/>
  <c r="P17" i="141"/>
  <c r="O17" i="141"/>
  <c r="AG15" i="57" s="1"/>
  <c r="P16" i="141"/>
  <c r="O16" i="141"/>
  <c r="AG14" i="57" s="1"/>
  <c r="P15" i="141"/>
  <c r="O15" i="141"/>
  <c r="AG13" i="57" s="1"/>
  <c r="P14" i="141"/>
  <c r="O14" i="141"/>
  <c r="AG12" i="57" s="1"/>
  <c r="P13" i="141"/>
  <c r="O13" i="141"/>
  <c r="AG11" i="57" s="1"/>
  <c r="P12" i="141"/>
  <c r="O12" i="141"/>
  <c r="AG10" i="57" s="1"/>
  <c r="P11" i="141"/>
  <c r="O11" i="141"/>
  <c r="AG9" i="57" s="1"/>
  <c r="P10" i="141"/>
  <c r="O10" i="141"/>
  <c r="AG8" i="57" s="1"/>
  <c r="P9" i="141"/>
  <c r="O9" i="141"/>
  <c r="AG7" i="57" s="1"/>
  <c r="P8" i="141"/>
  <c r="O8" i="141"/>
  <c r="AG6" i="57" s="1"/>
  <c r="P7" i="141"/>
  <c r="O7" i="141"/>
  <c r="AG5" i="57" s="1"/>
  <c r="P6" i="141"/>
  <c r="O6" i="141"/>
  <c r="AG4" i="57" s="1"/>
  <c r="P5" i="141"/>
  <c r="O5" i="141"/>
  <c r="AG3" i="57" s="1"/>
  <c r="P4" i="141"/>
  <c r="O4" i="141"/>
  <c r="G58" i="140"/>
  <c r="B35" i="140"/>
  <c r="B34" i="140"/>
  <c r="B33" i="140"/>
  <c r="N24" i="140"/>
  <c r="M24" i="140"/>
  <c r="L24" i="140"/>
  <c r="K24" i="140"/>
  <c r="J24" i="140"/>
  <c r="I24" i="140"/>
  <c r="H24" i="140"/>
  <c r="G24" i="140"/>
  <c r="F24" i="140"/>
  <c r="E24" i="140"/>
  <c r="D24" i="140"/>
  <c r="C24" i="140"/>
  <c r="B24" i="140"/>
  <c r="P23" i="140"/>
  <c r="O23" i="140"/>
  <c r="AF21" i="57" s="1"/>
  <c r="P22" i="140"/>
  <c r="O22" i="140"/>
  <c r="AF20" i="57" s="1"/>
  <c r="P21" i="140"/>
  <c r="O21" i="140"/>
  <c r="AF19" i="57" s="1"/>
  <c r="P20" i="140"/>
  <c r="O20" i="140"/>
  <c r="AF18" i="57" s="1"/>
  <c r="P19" i="140"/>
  <c r="O19" i="140"/>
  <c r="AF17" i="57" s="1"/>
  <c r="P18" i="140"/>
  <c r="O18" i="140"/>
  <c r="AF16" i="57" s="1"/>
  <c r="P17" i="140"/>
  <c r="O17" i="140"/>
  <c r="AF15" i="57" s="1"/>
  <c r="P16" i="140"/>
  <c r="O16" i="140"/>
  <c r="AF14" i="57" s="1"/>
  <c r="P15" i="140"/>
  <c r="O15" i="140"/>
  <c r="AF13" i="57" s="1"/>
  <c r="P14" i="140"/>
  <c r="O14" i="140"/>
  <c r="AF12" i="57" s="1"/>
  <c r="P13" i="140"/>
  <c r="O13" i="140"/>
  <c r="AF11" i="57" s="1"/>
  <c r="P12" i="140"/>
  <c r="O12" i="140"/>
  <c r="AF10" i="57" s="1"/>
  <c r="P11" i="140"/>
  <c r="O11" i="140"/>
  <c r="AF9" i="57" s="1"/>
  <c r="P10" i="140"/>
  <c r="O10" i="140"/>
  <c r="AF8" i="57" s="1"/>
  <c r="P9" i="140"/>
  <c r="O9" i="140"/>
  <c r="AF7" i="57" s="1"/>
  <c r="P8" i="140"/>
  <c r="O8" i="140"/>
  <c r="AF6" i="57" s="1"/>
  <c r="P7" i="140"/>
  <c r="O7" i="140"/>
  <c r="AF5" i="57" s="1"/>
  <c r="P6" i="140"/>
  <c r="O6" i="140"/>
  <c r="AF4" i="57" s="1"/>
  <c r="P5" i="140"/>
  <c r="O5" i="140"/>
  <c r="AF3" i="57" s="1"/>
  <c r="P4" i="140"/>
  <c r="O4" i="140"/>
  <c r="AF2" i="57" s="1"/>
  <c r="G58" i="139"/>
  <c r="B35" i="139"/>
  <c r="B34" i="139"/>
  <c r="B33" i="139"/>
  <c r="N24" i="139"/>
  <c r="M24" i="139"/>
  <c r="L24" i="139"/>
  <c r="K24" i="139"/>
  <c r="J24" i="139"/>
  <c r="I24" i="139"/>
  <c r="H24" i="139"/>
  <c r="G24" i="139"/>
  <c r="F24" i="139"/>
  <c r="E24" i="139"/>
  <c r="D24" i="139"/>
  <c r="C24" i="139"/>
  <c r="B24" i="139"/>
  <c r="P23" i="139"/>
  <c r="O23" i="139"/>
  <c r="AE21" i="57" s="1"/>
  <c r="P22" i="139"/>
  <c r="O22" i="139"/>
  <c r="AE20" i="57" s="1"/>
  <c r="P21" i="139"/>
  <c r="O21" i="139"/>
  <c r="AE19" i="57" s="1"/>
  <c r="P20" i="139"/>
  <c r="O20" i="139"/>
  <c r="AE18" i="57" s="1"/>
  <c r="P19" i="139"/>
  <c r="O19" i="139"/>
  <c r="AE17" i="57" s="1"/>
  <c r="P18" i="139"/>
  <c r="O18" i="139"/>
  <c r="AE16" i="57" s="1"/>
  <c r="P17" i="139"/>
  <c r="O17" i="139"/>
  <c r="AE15" i="57" s="1"/>
  <c r="P16" i="139"/>
  <c r="O16" i="139"/>
  <c r="AE14" i="57" s="1"/>
  <c r="P15" i="139"/>
  <c r="O15" i="139"/>
  <c r="AE13" i="57" s="1"/>
  <c r="P14" i="139"/>
  <c r="O14" i="139"/>
  <c r="AE12" i="57" s="1"/>
  <c r="P13" i="139"/>
  <c r="O13" i="139"/>
  <c r="AE11" i="57" s="1"/>
  <c r="P12" i="139"/>
  <c r="O12" i="139"/>
  <c r="AE10" i="57" s="1"/>
  <c r="P11" i="139"/>
  <c r="O11" i="139"/>
  <c r="AE9" i="57" s="1"/>
  <c r="P10" i="139"/>
  <c r="O10" i="139"/>
  <c r="AE8" i="57" s="1"/>
  <c r="P9" i="139"/>
  <c r="O9" i="139"/>
  <c r="AE7" i="57" s="1"/>
  <c r="P8" i="139"/>
  <c r="O8" i="139"/>
  <c r="AE6" i="57" s="1"/>
  <c r="P7" i="139"/>
  <c r="O7" i="139"/>
  <c r="AE5" i="57" s="1"/>
  <c r="P6" i="139"/>
  <c r="O6" i="139"/>
  <c r="AE4" i="57" s="1"/>
  <c r="P5" i="139"/>
  <c r="O5" i="139"/>
  <c r="AE3" i="57" s="1"/>
  <c r="P4" i="139"/>
  <c r="O4" i="139"/>
  <c r="AE2" i="57" s="1"/>
  <c r="G58" i="138"/>
  <c r="B35" i="138"/>
  <c r="B34" i="138"/>
  <c r="B33" i="138"/>
  <c r="N24" i="138"/>
  <c r="M24" i="138"/>
  <c r="L24" i="138"/>
  <c r="K24" i="138"/>
  <c r="J24" i="138"/>
  <c r="I24" i="138"/>
  <c r="H24" i="138"/>
  <c r="G24" i="138"/>
  <c r="F24" i="138"/>
  <c r="E24" i="138"/>
  <c r="D24" i="138"/>
  <c r="C24" i="138"/>
  <c r="P25" i="138" s="1"/>
  <c r="B24" i="138"/>
  <c r="O25" i="138" s="1"/>
  <c r="P23" i="138"/>
  <c r="O23" i="138"/>
  <c r="AD21" i="57" s="1"/>
  <c r="P22" i="138"/>
  <c r="O22" i="138"/>
  <c r="AD20" i="57" s="1"/>
  <c r="P21" i="138"/>
  <c r="O21" i="138"/>
  <c r="AD19" i="57" s="1"/>
  <c r="P20" i="138"/>
  <c r="O20" i="138"/>
  <c r="AD18" i="57" s="1"/>
  <c r="P19" i="138"/>
  <c r="O19" i="138"/>
  <c r="AD17" i="57" s="1"/>
  <c r="P18" i="138"/>
  <c r="O18" i="138"/>
  <c r="AD16" i="57" s="1"/>
  <c r="P17" i="138"/>
  <c r="O17" i="138"/>
  <c r="AD15" i="57" s="1"/>
  <c r="P16" i="138"/>
  <c r="O16" i="138"/>
  <c r="AD14" i="57" s="1"/>
  <c r="P15" i="138"/>
  <c r="O15" i="138"/>
  <c r="AD13" i="57" s="1"/>
  <c r="P14" i="138"/>
  <c r="O14" i="138"/>
  <c r="AD12" i="57" s="1"/>
  <c r="P13" i="138"/>
  <c r="O13" i="138"/>
  <c r="AD11" i="57" s="1"/>
  <c r="P12" i="138"/>
  <c r="O12" i="138"/>
  <c r="AD10" i="57" s="1"/>
  <c r="P11" i="138"/>
  <c r="O11" i="138"/>
  <c r="AD9" i="57" s="1"/>
  <c r="P10" i="138"/>
  <c r="O10" i="138"/>
  <c r="AD8" i="57" s="1"/>
  <c r="P9" i="138"/>
  <c r="O9" i="138"/>
  <c r="AD7" i="57" s="1"/>
  <c r="P8" i="138"/>
  <c r="O8" i="138"/>
  <c r="AD6" i="57" s="1"/>
  <c r="P7" i="138"/>
  <c r="O7" i="138"/>
  <c r="AD5" i="57" s="1"/>
  <c r="P6" i="138"/>
  <c r="O6" i="138"/>
  <c r="AD4" i="57" s="1"/>
  <c r="P5" i="138"/>
  <c r="O5" i="138"/>
  <c r="AD3" i="57" s="1"/>
  <c r="P4" i="138"/>
  <c r="P24" i="138" s="1"/>
  <c r="B27" i="138" s="1"/>
  <c r="O4" i="138"/>
  <c r="G58" i="137"/>
  <c r="B35" i="137"/>
  <c r="B34" i="137"/>
  <c r="B33" i="137"/>
  <c r="N24" i="137"/>
  <c r="M24" i="137"/>
  <c r="L24" i="137"/>
  <c r="K24" i="137"/>
  <c r="J24" i="137"/>
  <c r="I24" i="137"/>
  <c r="H24" i="137"/>
  <c r="G24" i="137"/>
  <c r="F24" i="137"/>
  <c r="E24" i="137"/>
  <c r="D24" i="137"/>
  <c r="C24" i="137"/>
  <c r="P25" i="137" s="1"/>
  <c r="B24" i="137"/>
  <c r="P23" i="137"/>
  <c r="O23" i="137"/>
  <c r="AC21" i="57" s="1"/>
  <c r="P22" i="137"/>
  <c r="O22" i="137"/>
  <c r="AC20" i="57" s="1"/>
  <c r="P21" i="137"/>
  <c r="O21" i="137"/>
  <c r="AC19" i="57" s="1"/>
  <c r="P20" i="137"/>
  <c r="O20" i="137"/>
  <c r="AC18" i="57" s="1"/>
  <c r="P19" i="137"/>
  <c r="O19" i="137"/>
  <c r="AC17" i="57" s="1"/>
  <c r="P18" i="137"/>
  <c r="O18" i="137"/>
  <c r="AC16" i="57" s="1"/>
  <c r="P17" i="137"/>
  <c r="O17" i="137"/>
  <c r="AC15" i="57" s="1"/>
  <c r="P16" i="137"/>
  <c r="O16" i="137"/>
  <c r="AC14" i="57" s="1"/>
  <c r="P15" i="137"/>
  <c r="O15" i="137"/>
  <c r="AC13" i="57" s="1"/>
  <c r="P14" i="137"/>
  <c r="O14" i="137"/>
  <c r="AC12" i="57" s="1"/>
  <c r="P13" i="137"/>
  <c r="O13" i="137"/>
  <c r="AC11" i="57" s="1"/>
  <c r="P12" i="137"/>
  <c r="O12" i="137"/>
  <c r="AC10" i="57" s="1"/>
  <c r="P11" i="137"/>
  <c r="O11" i="137"/>
  <c r="AC9" i="57" s="1"/>
  <c r="P10" i="137"/>
  <c r="O10" i="137"/>
  <c r="AC8" i="57" s="1"/>
  <c r="P9" i="137"/>
  <c r="O9" i="137"/>
  <c r="AC7" i="57" s="1"/>
  <c r="P8" i="137"/>
  <c r="O8" i="137"/>
  <c r="AC6" i="57" s="1"/>
  <c r="P7" i="137"/>
  <c r="O7" i="137"/>
  <c r="AC5" i="57" s="1"/>
  <c r="P6" i="137"/>
  <c r="O6" i="137"/>
  <c r="AC4" i="57" s="1"/>
  <c r="P5" i="137"/>
  <c r="O5" i="137"/>
  <c r="AC3" i="57" s="1"/>
  <c r="P4" i="137"/>
  <c r="P24" i="137" s="1"/>
  <c r="B27" i="137" s="1"/>
  <c r="O4" i="137"/>
  <c r="G58" i="136"/>
  <c r="B35" i="136"/>
  <c r="B34" i="136"/>
  <c r="B33" i="136"/>
  <c r="N24" i="136"/>
  <c r="M24" i="136"/>
  <c r="L24" i="136"/>
  <c r="K24" i="136"/>
  <c r="J24" i="136"/>
  <c r="I24" i="136"/>
  <c r="H24" i="136"/>
  <c r="G24" i="136"/>
  <c r="F24" i="136"/>
  <c r="E24" i="136"/>
  <c r="D24" i="136"/>
  <c r="C24" i="136"/>
  <c r="B24" i="136"/>
  <c r="P23" i="136"/>
  <c r="O23" i="136"/>
  <c r="AB21" i="57" s="1"/>
  <c r="P22" i="136"/>
  <c r="O22" i="136"/>
  <c r="AB20" i="57" s="1"/>
  <c r="P21" i="136"/>
  <c r="O21" i="136"/>
  <c r="AB19" i="57" s="1"/>
  <c r="P20" i="136"/>
  <c r="O20" i="136"/>
  <c r="AB18" i="57" s="1"/>
  <c r="P19" i="136"/>
  <c r="O19" i="136"/>
  <c r="AB17" i="57" s="1"/>
  <c r="P18" i="136"/>
  <c r="O18" i="136"/>
  <c r="AB16" i="57" s="1"/>
  <c r="P17" i="136"/>
  <c r="O17" i="136"/>
  <c r="AB15" i="57" s="1"/>
  <c r="P16" i="136"/>
  <c r="O16" i="136"/>
  <c r="AB14" i="57" s="1"/>
  <c r="P15" i="136"/>
  <c r="O15" i="136"/>
  <c r="AB13" i="57" s="1"/>
  <c r="P14" i="136"/>
  <c r="O14" i="136"/>
  <c r="AB12" i="57" s="1"/>
  <c r="P13" i="136"/>
  <c r="O13" i="136"/>
  <c r="AB11" i="57" s="1"/>
  <c r="P12" i="136"/>
  <c r="O12" i="136"/>
  <c r="AB10" i="57" s="1"/>
  <c r="P11" i="136"/>
  <c r="O11" i="136"/>
  <c r="AB9" i="57" s="1"/>
  <c r="P10" i="136"/>
  <c r="O10" i="136"/>
  <c r="AB8" i="57" s="1"/>
  <c r="P9" i="136"/>
  <c r="O9" i="136"/>
  <c r="AB7" i="57" s="1"/>
  <c r="P8" i="136"/>
  <c r="O8" i="136"/>
  <c r="AB6" i="57" s="1"/>
  <c r="P7" i="136"/>
  <c r="O7" i="136"/>
  <c r="AB5" i="57" s="1"/>
  <c r="P6" i="136"/>
  <c r="O6" i="136"/>
  <c r="AB4" i="57" s="1"/>
  <c r="P5" i="136"/>
  <c r="O5" i="136"/>
  <c r="AB3" i="57" s="1"/>
  <c r="P4" i="136"/>
  <c r="O4" i="136"/>
  <c r="AB2" i="57" s="1"/>
  <c r="G58" i="135"/>
  <c r="B35" i="135"/>
  <c r="B34" i="135"/>
  <c r="B33" i="135"/>
  <c r="N24" i="135"/>
  <c r="M24" i="135"/>
  <c r="L24" i="135"/>
  <c r="K24" i="135"/>
  <c r="J24" i="135"/>
  <c r="I24" i="135"/>
  <c r="H24" i="135"/>
  <c r="G24" i="135"/>
  <c r="F24" i="135"/>
  <c r="E24" i="135"/>
  <c r="D24" i="135"/>
  <c r="C24" i="135"/>
  <c r="B24" i="135"/>
  <c r="O25" i="135" s="1"/>
  <c r="P23" i="135"/>
  <c r="O23" i="135"/>
  <c r="AA21" i="57" s="1"/>
  <c r="P22" i="135"/>
  <c r="O22" i="135"/>
  <c r="AA20" i="57" s="1"/>
  <c r="P21" i="135"/>
  <c r="O21" i="135"/>
  <c r="AA19" i="57" s="1"/>
  <c r="P20" i="135"/>
  <c r="O20" i="135"/>
  <c r="AA18" i="57" s="1"/>
  <c r="P19" i="135"/>
  <c r="O19" i="135"/>
  <c r="AA17" i="57" s="1"/>
  <c r="P18" i="135"/>
  <c r="O18" i="135"/>
  <c r="AA16" i="57" s="1"/>
  <c r="P17" i="135"/>
  <c r="O17" i="135"/>
  <c r="AA15" i="57" s="1"/>
  <c r="P16" i="135"/>
  <c r="O16" i="135"/>
  <c r="AA14" i="57" s="1"/>
  <c r="P15" i="135"/>
  <c r="O15" i="135"/>
  <c r="AA13" i="57" s="1"/>
  <c r="P14" i="135"/>
  <c r="O14" i="135"/>
  <c r="AA12" i="57" s="1"/>
  <c r="P13" i="135"/>
  <c r="O13" i="135"/>
  <c r="AA11" i="57" s="1"/>
  <c r="P12" i="135"/>
  <c r="O12" i="135"/>
  <c r="AA10" i="57" s="1"/>
  <c r="P11" i="135"/>
  <c r="O11" i="135"/>
  <c r="AA9" i="57" s="1"/>
  <c r="P10" i="135"/>
  <c r="O10" i="135"/>
  <c r="AA8" i="57" s="1"/>
  <c r="P9" i="135"/>
  <c r="O9" i="135"/>
  <c r="AA7" i="57" s="1"/>
  <c r="P8" i="135"/>
  <c r="O8" i="135"/>
  <c r="AA6" i="57" s="1"/>
  <c r="P7" i="135"/>
  <c r="O7" i="135"/>
  <c r="AA5" i="57" s="1"/>
  <c r="P6" i="135"/>
  <c r="O6" i="135"/>
  <c r="AA4" i="57" s="1"/>
  <c r="P5" i="135"/>
  <c r="O5" i="135"/>
  <c r="AA3" i="57" s="1"/>
  <c r="P4" i="135"/>
  <c r="O4" i="135"/>
  <c r="G58" i="134"/>
  <c r="B35" i="134"/>
  <c r="B34" i="134"/>
  <c r="B33" i="134"/>
  <c r="N24" i="134"/>
  <c r="M24" i="134"/>
  <c r="L24" i="134"/>
  <c r="K24" i="134"/>
  <c r="J24" i="134"/>
  <c r="I24" i="134"/>
  <c r="H24" i="134"/>
  <c r="G24" i="134"/>
  <c r="F24" i="134"/>
  <c r="E24" i="134"/>
  <c r="D24" i="134"/>
  <c r="C24" i="134"/>
  <c r="B24" i="134"/>
  <c r="O25" i="134" s="1"/>
  <c r="P23" i="134"/>
  <c r="O23" i="134"/>
  <c r="Z21" i="57" s="1"/>
  <c r="P22" i="134"/>
  <c r="O22" i="134"/>
  <c r="Z20" i="57" s="1"/>
  <c r="P21" i="134"/>
  <c r="O21" i="134"/>
  <c r="Z19" i="57" s="1"/>
  <c r="P20" i="134"/>
  <c r="O20" i="134"/>
  <c r="Z18" i="57" s="1"/>
  <c r="P19" i="134"/>
  <c r="O19" i="134"/>
  <c r="Z17" i="57" s="1"/>
  <c r="P18" i="134"/>
  <c r="O18" i="134"/>
  <c r="Z16" i="57" s="1"/>
  <c r="P17" i="134"/>
  <c r="O17" i="134"/>
  <c r="Z15" i="57" s="1"/>
  <c r="P16" i="134"/>
  <c r="O16" i="134"/>
  <c r="Z14" i="57" s="1"/>
  <c r="P15" i="134"/>
  <c r="O15" i="134"/>
  <c r="Z13" i="57" s="1"/>
  <c r="P14" i="134"/>
  <c r="O14" i="134"/>
  <c r="Z12" i="57" s="1"/>
  <c r="P13" i="134"/>
  <c r="O13" i="134"/>
  <c r="Z11" i="57" s="1"/>
  <c r="P12" i="134"/>
  <c r="O12" i="134"/>
  <c r="Z10" i="57" s="1"/>
  <c r="P11" i="134"/>
  <c r="O11" i="134"/>
  <c r="Z9" i="57" s="1"/>
  <c r="P10" i="134"/>
  <c r="O10" i="134"/>
  <c r="Z8" i="57" s="1"/>
  <c r="P9" i="134"/>
  <c r="O9" i="134"/>
  <c r="Z7" i="57" s="1"/>
  <c r="P8" i="134"/>
  <c r="O8" i="134"/>
  <c r="Z6" i="57" s="1"/>
  <c r="P7" i="134"/>
  <c r="O7" i="134"/>
  <c r="Z5" i="57" s="1"/>
  <c r="P6" i="134"/>
  <c r="O6" i="134"/>
  <c r="Z4" i="57" s="1"/>
  <c r="P5" i="134"/>
  <c r="O5" i="134"/>
  <c r="Z3" i="57" s="1"/>
  <c r="P4" i="134"/>
  <c r="P24" i="134" s="1"/>
  <c r="B27" i="134" s="1"/>
  <c r="O4" i="134"/>
  <c r="G58" i="133"/>
  <c r="B35" i="133"/>
  <c r="B34" i="133"/>
  <c r="B33" i="133"/>
  <c r="N24" i="133"/>
  <c r="M24" i="133"/>
  <c r="L24" i="133"/>
  <c r="K24" i="133"/>
  <c r="J24" i="133"/>
  <c r="I24" i="133"/>
  <c r="H24" i="133"/>
  <c r="G24" i="133"/>
  <c r="F24" i="133"/>
  <c r="E24" i="133"/>
  <c r="D24" i="133"/>
  <c r="C24" i="133"/>
  <c r="P25" i="133" s="1"/>
  <c r="B24" i="133"/>
  <c r="P23" i="133"/>
  <c r="O23" i="133"/>
  <c r="Y21" i="57" s="1"/>
  <c r="P22" i="133"/>
  <c r="O22" i="133"/>
  <c r="Y20" i="57" s="1"/>
  <c r="P21" i="133"/>
  <c r="O21" i="133"/>
  <c r="Y19" i="57" s="1"/>
  <c r="P20" i="133"/>
  <c r="O20" i="133"/>
  <c r="Y18" i="57" s="1"/>
  <c r="P19" i="133"/>
  <c r="O19" i="133"/>
  <c r="Y17" i="57" s="1"/>
  <c r="P18" i="133"/>
  <c r="O18" i="133"/>
  <c r="Y16" i="57" s="1"/>
  <c r="P17" i="133"/>
  <c r="O17" i="133"/>
  <c r="Y15" i="57" s="1"/>
  <c r="P16" i="133"/>
  <c r="O16" i="133"/>
  <c r="Y14" i="57" s="1"/>
  <c r="P15" i="133"/>
  <c r="O15" i="133"/>
  <c r="Y13" i="57" s="1"/>
  <c r="P14" i="133"/>
  <c r="O14" i="133"/>
  <c r="Y12" i="57" s="1"/>
  <c r="P13" i="133"/>
  <c r="O13" i="133"/>
  <c r="Y11" i="57" s="1"/>
  <c r="P12" i="133"/>
  <c r="O12" i="133"/>
  <c r="Y10" i="57" s="1"/>
  <c r="P11" i="133"/>
  <c r="O11" i="133"/>
  <c r="Y9" i="57" s="1"/>
  <c r="P10" i="133"/>
  <c r="O10" i="133"/>
  <c r="Y8" i="57" s="1"/>
  <c r="P9" i="133"/>
  <c r="O9" i="133"/>
  <c r="Y7" i="57" s="1"/>
  <c r="P8" i="133"/>
  <c r="O8" i="133"/>
  <c r="Y6" i="57" s="1"/>
  <c r="P7" i="133"/>
  <c r="O7" i="133"/>
  <c r="Y5" i="57" s="1"/>
  <c r="P6" i="133"/>
  <c r="O6" i="133"/>
  <c r="Y4" i="57" s="1"/>
  <c r="P5" i="133"/>
  <c r="O5" i="133"/>
  <c r="Y3" i="57" s="1"/>
  <c r="P4" i="133"/>
  <c r="P24" i="133" s="1"/>
  <c r="B27" i="133" s="1"/>
  <c r="O4" i="133"/>
  <c r="G58" i="132"/>
  <c r="B35" i="132"/>
  <c r="B34" i="132"/>
  <c r="B33" i="132"/>
  <c r="N24" i="132"/>
  <c r="M24" i="132"/>
  <c r="L24" i="132"/>
  <c r="K24" i="132"/>
  <c r="J24" i="132"/>
  <c r="I24" i="132"/>
  <c r="H24" i="132"/>
  <c r="G24" i="132"/>
  <c r="F24" i="132"/>
  <c r="E24" i="132"/>
  <c r="D24" i="132"/>
  <c r="C24" i="132"/>
  <c r="B24" i="132"/>
  <c r="P23" i="132"/>
  <c r="O23" i="132"/>
  <c r="X21" i="57" s="1"/>
  <c r="P22" i="132"/>
  <c r="O22" i="132"/>
  <c r="X20" i="57" s="1"/>
  <c r="P21" i="132"/>
  <c r="O21" i="132"/>
  <c r="X19" i="57" s="1"/>
  <c r="P20" i="132"/>
  <c r="O20" i="132"/>
  <c r="X18" i="57" s="1"/>
  <c r="P19" i="132"/>
  <c r="O19" i="132"/>
  <c r="X17" i="57" s="1"/>
  <c r="P18" i="132"/>
  <c r="O18" i="132"/>
  <c r="X16" i="57" s="1"/>
  <c r="P17" i="132"/>
  <c r="O17" i="132"/>
  <c r="X15" i="57" s="1"/>
  <c r="P16" i="132"/>
  <c r="O16" i="132"/>
  <c r="X14" i="57" s="1"/>
  <c r="P15" i="132"/>
  <c r="O15" i="132"/>
  <c r="X13" i="57" s="1"/>
  <c r="P14" i="132"/>
  <c r="O14" i="132"/>
  <c r="X12" i="57" s="1"/>
  <c r="P13" i="132"/>
  <c r="O13" i="132"/>
  <c r="X11" i="57" s="1"/>
  <c r="P12" i="132"/>
  <c r="O12" i="132"/>
  <c r="X10" i="57" s="1"/>
  <c r="P11" i="132"/>
  <c r="O11" i="132"/>
  <c r="X9" i="57" s="1"/>
  <c r="P10" i="132"/>
  <c r="O10" i="132"/>
  <c r="X8" i="57" s="1"/>
  <c r="P9" i="132"/>
  <c r="O9" i="132"/>
  <c r="X7" i="57" s="1"/>
  <c r="P8" i="132"/>
  <c r="O8" i="132"/>
  <c r="X6" i="57" s="1"/>
  <c r="P7" i="132"/>
  <c r="O7" i="132"/>
  <c r="X5" i="57" s="1"/>
  <c r="P6" i="132"/>
  <c r="O6" i="132"/>
  <c r="X4" i="57" s="1"/>
  <c r="P5" i="132"/>
  <c r="O5" i="132"/>
  <c r="X3" i="57" s="1"/>
  <c r="P4" i="132"/>
  <c r="O4" i="132"/>
  <c r="G58" i="131"/>
  <c r="B35" i="131"/>
  <c r="B34" i="131"/>
  <c r="B33" i="131"/>
  <c r="N24" i="131"/>
  <c r="M24" i="131"/>
  <c r="L24" i="131"/>
  <c r="K24" i="131"/>
  <c r="J24" i="131"/>
  <c r="I24" i="131"/>
  <c r="H24" i="131"/>
  <c r="G24" i="131"/>
  <c r="F24" i="131"/>
  <c r="D24" i="131"/>
  <c r="C24" i="131"/>
  <c r="B24" i="131"/>
  <c r="P23" i="131"/>
  <c r="O23" i="131"/>
  <c r="W21" i="57" s="1"/>
  <c r="P22" i="131"/>
  <c r="O22" i="131"/>
  <c r="W20" i="57" s="1"/>
  <c r="P21" i="131"/>
  <c r="O21" i="131"/>
  <c r="W19" i="57" s="1"/>
  <c r="P20" i="131"/>
  <c r="O20" i="131"/>
  <c r="W18" i="57" s="1"/>
  <c r="P19" i="131"/>
  <c r="O19" i="131"/>
  <c r="W17" i="57" s="1"/>
  <c r="P18" i="131"/>
  <c r="O18" i="131"/>
  <c r="W16" i="57" s="1"/>
  <c r="P17" i="131"/>
  <c r="O17" i="131"/>
  <c r="W15" i="57" s="1"/>
  <c r="P16" i="131"/>
  <c r="O16" i="131"/>
  <c r="W14" i="57" s="1"/>
  <c r="P15" i="131"/>
  <c r="O15" i="131"/>
  <c r="W13" i="57" s="1"/>
  <c r="P14" i="131"/>
  <c r="O14" i="131"/>
  <c r="W12" i="57" s="1"/>
  <c r="P13" i="131"/>
  <c r="O13" i="131"/>
  <c r="W11" i="57" s="1"/>
  <c r="P12" i="131"/>
  <c r="O12" i="131"/>
  <c r="W10" i="57" s="1"/>
  <c r="P11" i="131"/>
  <c r="O11" i="131"/>
  <c r="W9" i="57" s="1"/>
  <c r="P10" i="131"/>
  <c r="O10" i="131"/>
  <c r="W8" i="57" s="1"/>
  <c r="P9" i="131"/>
  <c r="O9" i="131"/>
  <c r="W7" i="57" s="1"/>
  <c r="P8" i="131"/>
  <c r="O8" i="131"/>
  <c r="W6" i="57" s="1"/>
  <c r="P7" i="131"/>
  <c r="O7" i="131"/>
  <c r="W5" i="57" s="1"/>
  <c r="P6" i="131"/>
  <c r="O6" i="131"/>
  <c r="W4" i="57" s="1"/>
  <c r="P5" i="131"/>
  <c r="O5" i="131"/>
  <c r="W3" i="57" s="1"/>
  <c r="P4" i="131"/>
  <c r="O4" i="131"/>
  <c r="G58" i="130"/>
  <c r="B35" i="130"/>
  <c r="B34" i="130"/>
  <c r="B33" i="130"/>
  <c r="N24" i="130"/>
  <c r="M24" i="130"/>
  <c r="L24" i="130"/>
  <c r="K24" i="130"/>
  <c r="J24" i="130"/>
  <c r="I24" i="130"/>
  <c r="H24" i="130"/>
  <c r="G24" i="130"/>
  <c r="F24" i="130"/>
  <c r="E24" i="130"/>
  <c r="D24" i="130"/>
  <c r="C24" i="130"/>
  <c r="B24" i="130"/>
  <c r="O25" i="130" s="1"/>
  <c r="P23" i="130"/>
  <c r="O23" i="130"/>
  <c r="V21" i="57" s="1"/>
  <c r="P22" i="130"/>
  <c r="O22" i="130"/>
  <c r="V20" i="57" s="1"/>
  <c r="P21" i="130"/>
  <c r="O21" i="130"/>
  <c r="V19" i="57" s="1"/>
  <c r="P20" i="130"/>
  <c r="O20" i="130"/>
  <c r="V18" i="57" s="1"/>
  <c r="P19" i="130"/>
  <c r="O19" i="130"/>
  <c r="V17" i="57" s="1"/>
  <c r="P18" i="130"/>
  <c r="O18" i="130"/>
  <c r="V16" i="57" s="1"/>
  <c r="P17" i="130"/>
  <c r="O17" i="130"/>
  <c r="V15" i="57" s="1"/>
  <c r="P16" i="130"/>
  <c r="O16" i="130"/>
  <c r="V14" i="57" s="1"/>
  <c r="P15" i="130"/>
  <c r="O15" i="130"/>
  <c r="V13" i="57" s="1"/>
  <c r="P14" i="130"/>
  <c r="O14" i="130"/>
  <c r="V12" i="57" s="1"/>
  <c r="P13" i="130"/>
  <c r="O13" i="130"/>
  <c r="V11" i="57" s="1"/>
  <c r="P12" i="130"/>
  <c r="O12" i="130"/>
  <c r="V10" i="57" s="1"/>
  <c r="P11" i="130"/>
  <c r="O11" i="130"/>
  <c r="V9" i="57" s="1"/>
  <c r="P10" i="130"/>
  <c r="O10" i="130"/>
  <c r="V8" i="57" s="1"/>
  <c r="P9" i="130"/>
  <c r="O9" i="130"/>
  <c r="V7" i="57" s="1"/>
  <c r="P8" i="130"/>
  <c r="O8" i="130"/>
  <c r="V6" i="57" s="1"/>
  <c r="P7" i="130"/>
  <c r="O7" i="130"/>
  <c r="V5" i="57" s="1"/>
  <c r="P6" i="130"/>
  <c r="O6" i="130"/>
  <c r="V4" i="57" s="1"/>
  <c r="P5" i="130"/>
  <c r="O5" i="130"/>
  <c r="V3" i="57" s="1"/>
  <c r="P4" i="130"/>
  <c r="P24" i="130" s="1"/>
  <c r="B27" i="130" s="1"/>
  <c r="O4" i="130"/>
  <c r="G58" i="129"/>
  <c r="B35" i="129"/>
  <c r="B34" i="129"/>
  <c r="B33" i="129"/>
  <c r="N24" i="129"/>
  <c r="M24" i="129"/>
  <c r="L24" i="129"/>
  <c r="K24" i="129"/>
  <c r="J24" i="129"/>
  <c r="I24" i="129"/>
  <c r="H24" i="129"/>
  <c r="G24" i="129"/>
  <c r="F24" i="129"/>
  <c r="E24" i="129"/>
  <c r="D24" i="129"/>
  <c r="C24" i="129"/>
  <c r="P25" i="129" s="1"/>
  <c r="B24" i="129"/>
  <c r="P23" i="129"/>
  <c r="O23" i="129"/>
  <c r="U21" i="57" s="1"/>
  <c r="P22" i="129"/>
  <c r="O22" i="129"/>
  <c r="U20" i="57" s="1"/>
  <c r="P21" i="129"/>
  <c r="O21" i="129"/>
  <c r="U19" i="57" s="1"/>
  <c r="P20" i="129"/>
  <c r="O20" i="129"/>
  <c r="U18" i="57" s="1"/>
  <c r="P19" i="129"/>
  <c r="O19" i="129"/>
  <c r="U17" i="57" s="1"/>
  <c r="P18" i="129"/>
  <c r="O18" i="129"/>
  <c r="U16" i="57" s="1"/>
  <c r="P17" i="129"/>
  <c r="O17" i="129"/>
  <c r="U15" i="57" s="1"/>
  <c r="P16" i="129"/>
  <c r="O16" i="129"/>
  <c r="U14" i="57" s="1"/>
  <c r="P15" i="129"/>
  <c r="O15" i="129"/>
  <c r="U13" i="57" s="1"/>
  <c r="P14" i="129"/>
  <c r="O14" i="129"/>
  <c r="U12" i="57" s="1"/>
  <c r="P13" i="129"/>
  <c r="O13" i="129"/>
  <c r="U11" i="57" s="1"/>
  <c r="P12" i="129"/>
  <c r="O12" i="129"/>
  <c r="U10" i="57" s="1"/>
  <c r="P11" i="129"/>
  <c r="O11" i="129"/>
  <c r="U9" i="57" s="1"/>
  <c r="P10" i="129"/>
  <c r="O10" i="129"/>
  <c r="U8" i="57" s="1"/>
  <c r="P9" i="129"/>
  <c r="O9" i="129"/>
  <c r="U7" i="57" s="1"/>
  <c r="P8" i="129"/>
  <c r="O8" i="129"/>
  <c r="U6" i="57" s="1"/>
  <c r="P7" i="129"/>
  <c r="O7" i="129"/>
  <c r="U5" i="57" s="1"/>
  <c r="P6" i="129"/>
  <c r="O6" i="129"/>
  <c r="U4" i="57" s="1"/>
  <c r="P5" i="129"/>
  <c r="O5" i="129"/>
  <c r="U3" i="57" s="1"/>
  <c r="P4" i="129"/>
  <c r="P24" i="129" s="1"/>
  <c r="B27" i="129" s="1"/>
  <c r="O4" i="129"/>
  <c r="G58" i="128"/>
  <c r="B35" i="128"/>
  <c r="B34" i="128"/>
  <c r="B33" i="128"/>
  <c r="N24" i="128"/>
  <c r="M24" i="128"/>
  <c r="L24" i="128"/>
  <c r="K24" i="128"/>
  <c r="J24" i="128"/>
  <c r="I24" i="128"/>
  <c r="H24" i="128"/>
  <c r="G24" i="128"/>
  <c r="F24" i="128"/>
  <c r="E24" i="128"/>
  <c r="D24" i="128"/>
  <c r="C24" i="128"/>
  <c r="P25" i="128" s="1"/>
  <c r="B24" i="128"/>
  <c r="P23" i="128"/>
  <c r="O23" i="128"/>
  <c r="T21" i="57" s="1"/>
  <c r="P22" i="128"/>
  <c r="O22" i="128"/>
  <c r="T20" i="57" s="1"/>
  <c r="P21" i="128"/>
  <c r="O21" i="128"/>
  <c r="T19" i="57" s="1"/>
  <c r="P20" i="128"/>
  <c r="O20" i="128"/>
  <c r="T18" i="57" s="1"/>
  <c r="P19" i="128"/>
  <c r="O19" i="128"/>
  <c r="T17" i="57" s="1"/>
  <c r="P18" i="128"/>
  <c r="O18" i="128"/>
  <c r="P17" i="128"/>
  <c r="O17" i="128"/>
  <c r="P16" i="128"/>
  <c r="O16" i="128"/>
  <c r="P15" i="128"/>
  <c r="O15" i="128"/>
  <c r="T13" i="57" s="1"/>
  <c r="P14" i="128"/>
  <c r="O14" i="128"/>
  <c r="T12" i="57" s="1"/>
  <c r="P13" i="128"/>
  <c r="O13" i="128"/>
  <c r="T11" i="57" s="1"/>
  <c r="P12" i="128"/>
  <c r="O12" i="128"/>
  <c r="T10" i="57" s="1"/>
  <c r="P11" i="128"/>
  <c r="O11" i="128"/>
  <c r="P10" i="128"/>
  <c r="O10" i="128"/>
  <c r="T8" i="57" s="1"/>
  <c r="P9" i="128"/>
  <c r="O9" i="128"/>
  <c r="T7" i="57" s="1"/>
  <c r="P8" i="128"/>
  <c r="O8" i="128"/>
  <c r="P7" i="128"/>
  <c r="O7" i="128"/>
  <c r="T5" i="57" s="1"/>
  <c r="P6" i="128"/>
  <c r="O6" i="128"/>
  <c r="T4" i="57" s="1"/>
  <c r="P5" i="128"/>
  <c r="O5" i="128"/>
  <c r="T3" i="57" s="1"/>
  <c r="P4" i="128"/>
  <c r="P24" i="128" s="1"/>
  <c r="B27" i="128" s="1"/>
  <c r="O4" i="128"/>
  <c r="T2" i="57" s="1"/>
  <c r="G58" i="127"/>
  <c r="B35" i="127"/>
  <c r="B34" i="127"/>
  <c r="B33" i="127"/>
  <c r="N24" i="127"/>
  <c r="M24" i="127"/>
  <c r="L24" i="127"/>
  <c r="K24" i="127"/>
  <c r="J24" i="127"/>
  <c r="I24" i="127"/>
  <c r="H24" i="127"/>
  <c r="G24" i="127"/>
  <c r="F24" i="127"/>
  <c r="E24" i="127"/>
  <c r="D24" i="127"/>
  <c r="C24" i="127"/>
  <c r="B24" i="127"/>
  <c r="O25" i="127" s="1"/>
  <c r="P23" i="127"/>
  <c r="O23" i="127"/>
  <c r="S21" i="57" s="1"/>
  <c r="P22" i="127"/>
  <c r="O22" i="127"/>
  <c r="S20" i="57" s="1"/>
  <c r="P21" i="127"/>
  <c r="O21" i="127"/>
  <c r="S19" i="57" s="1"/>
  <c r="P20" i="127"/>
  <c r="O20" i="127"/>
  <c r="S18" i="57" s="1"/>
  <c r="P19" i="127"/>
  <c r="O19" i="127"/>
  <c r="S17" i="57" s="1"/>
  <c r="P18" i="127"/>
  <c r="O18" i="127"/>
  <c r="S16" i="57" s="1"/>
  <c r="P17" i="127"/>
  <c r="O17" i="127"/>
  <c r="S15" i="57" s="1"/>
  <c r="P16" i="127"/>
  <c r="O16" i="127"/>
  <c r="S14" i="57" s="1"/>
  <c r="P15" i="127"/>
  <c r="O15" i="127"/>
  <c r="S13" i="57" s="1"/>
  <c r="P14" i="127"/>
  <c r="O14" i="127"/>
  <c r="S12" i="57" s="1"/>
  <c r="P13" i="127"/>
  <c r="O13" i="127"/>
  <c r="S11" i="57" s="1"/>
  <c r="P12" i="127"/>
  <c r="O12" i="127"/>
  <c r="S10" i="57" s="1"/>
  <c r="P11" i="127"/>
  <c r="O11" i="127"/>
  <c r="S9" i="57" s="1"/>
  <c r="P10" i="127"/>
  <c r="O10" i="127"/>
  <c r="S8" i="57" s="1"/>
  <c r="P9" i="127"/>
  <c r="O9" i="127"/>
  <c r="S7" i="57" s="1"/>
  <c r="P8" i="127"/>
  <c r="O8" i="127"/>
  <c r="S6" i="57" s="1"/>
  <c r="P7" i="127"/>
  <c r="O7" i="127"/>
  <c r="S5" i="57" s="1"/>
  <c r="P6" i="127"/>
  <c r="O6" i="127"/>
  <c r="S4" i="57" s="1"/>
  <c r="P5" i="127"/>
  <c r="O5" i="127"/>
  <c r="S3" i="57" s="1"/>
  <c r="P4" i="127"/>
  <c r="O4" i="127"/>
  <c r="G76" i="126"/>
  <c r="B48" i="126"/>
  <c r="B47" i="126"/>
  <c r="B46" i="126"/>
  <c r="N37" i="126"/>
  <c r="M37" i="126"/>
  <c r="L37" i="126"/>
  <c r="K37" i="126"/>
  <c r="J37" i="126"/>
  <c r="I37" i="126"/>
  <c r="H37" i="126"/>
  <c r="G37" i="126"/>
  <c r="F37" i="126"/>
  <c r="E37" i="126"/>
  <c r="D37" i="126"/>
  <c r="C37" i="126"/>
  <c r="P38" i="126" s="1"/>
  <c r="B37" i="126"/>
  <c r="P18" i="126"/>
  <c r="O18" i="126"/>
  <c r="R16" i="57" s="1"/>
  <c r="P17" i="126"/>
  <c r="O17" i="126"/>
  <c r="R15" i="57" s="1"/>
  <c r="P16" i="126"/>
  <c r="O16" i="126"/>
  <c r="R14" i="57" s="1"/>
  <c r="P15" i="126"/>
  <c r="O15" i="126"/>
  <c r="R13" i="57" s="1"/>
  <c r="P14" i="126"/>
  <c r="O14" i="126"/>
  <c r="R12" i="57" s="1"/>
  <c r="P13" i="126"/>
  <c r="O13" i="126"/>
  <c r="R11" i="57" s="1"/>
  <c r="P12" i="126"/>
  <c r="O12" i="126"/>
  <c r="R10" i="57" s="1"/>
  <c r="P11" i="126"/>
  <c r="O11" i="126"/>
  <c r="R9" i="57" s="1"/>
  <c r="P10" i="126"/>
  <c r="O10" i="126"/>
  <c r="R8" i="57" s="1"/>
  <c r="P9" i="126"/>
  <c r="O9" i="126"/>
  <c r="R7" i="57" s="1"/>
  <c r="P8" i="126"/>
  <c r="O8" i="126"/>
  <c r="R6" i="57" s="1"/>
  <c r="P7" i="126"/>
  <c r="O7" i="126"/>
  <c r="R5" i="57" s="1"/>
  <c r="P6" i="126"/>
  <c r="O6" i="126"/>
  <c r="R4" i="57" s="1"/>
  <c r="P5" i="126"/>
  <c r="O5" i="126"/>
  <c r="R3" i="57" s="1"/>
  <c r="P4" i="126"/>
  <c r="P37" i="126" s="1"/>
  <c r="B40" i="126" s="1"/>
  <c r="O4" i="126"/>
  <c r="R2" i="57" s="1"/>
  <c r="G58" i="125"/>
  <c r="B35" i="125"/>
  <c r="B34" i="125"/>
  <c r="B33" i="125"/>
  <c r="N24" i="125"/>
  <c r="M24" i="125"/>
  <c r="L24" i="125"/>
  <c r="K24" i="125"/>
  <c r="J24" i="125"/>
  <c r="I24" i="125"/>
  <c r="H24" i="125"/>
  <c r="G24" i="125"/>
  <c r="F24" i="125"/>
  <c r="E24" i="125"/>
  <c r="D24" i="125"/>
  <c r="C24" i="125"/>
  <c r="B24" i="125"/>
  <c r="P23" i="125"/>
  <c r="O23" i="125"/>
  <c r="Q21" i="57" s="1"/>
  <c r="P22" i="125"/>
  <c r="O22" i="125"/>
  <c r="Q20" i="57" s="1"/>
  <c r="P21" i="125"/>
  <c r="O21" i="125"/>
  <c r="Q19" i="57" s="1"/>
  <c r="P20" i="125"/>
  <c r="O20" i="125"/>
  <c r="Q18" i="57" s="1"/>
  <c r="P19" i="125"/>
  <c r="O19" i="125"/>
  <c r="Q17" i="57" s="1"/>
  <c r="P18" i="125"/>
  <c r="O18" i="125"/>
  <c r="Q16" i="57" s="1"/>
  <c r="P17" i="125"/>
  <c r="O17" i="125"/>
  <c r="Q15" i="57" s="1"/>
  <c r="P16" i="125"/>
  <c r="O16" i="125"/>
  <c r="Q14" i="57" s="1"/>
  <c r="P15" i="125"/>
  <c r="O15" i="125"/>
  <c r="Q13" i="57" s="1"/>
  <c r="P14" i="125"/>
  <c r="O14" i="125"/>
  <c r="Q12" i="57" s="1"/>
  <c r="P13" i="125"/>
  <c r="O13" i="125"/>
  <c r="Q11" i="57" s="1"/>
  <c r="P12" i="125"/>
  <c r="O12" i="125"/>
  <c r="Q10" i="57" s="1"/>
  <c r="P11" i="125"/>
  <c r="O11" i="125"/>
  <c r="Q9" i="57" s="1"/>
  <c r="P10" i="125"/>
  <c r="O10" i="125"/>
  <c r="Q8" i="57" s="1"/>
  <c r="P9" i="125"/>
  <c r="O9" i="125"/>
  <c r="Q7" i="57" s="1"/>
  <c r="P8" i="125"/>
  <c r="O8" i="125"/>
  <c r="Q6" i="57" s="1"/>
  <c r="P7" i="125"/>
  <c r="O7" i="125"/>
  <c r="Q5" i="57" s="1"/>
  <c r="P6" i="125"/>
  <c r="O6" i="125"/>
  <c r="Q4" i="57" s="1"/>
  <c r="P5" i="125"/>
  <c r="O5" i="125"/>
  <c r="Q3" i="57" s="1"/>
  <c r="P4" i="125"/>
  <c r="O4" i="125"/>
  <c r="Q2" i="57" s="1"/>
  <c r="G58" i="124"/>
  <c r="B35" i="124"/>
  <c r="B34" i="124"/>
  <c r="B33" i="124"/>
  <c r="N24" i="124"/>
  <c r="M24" i="124"/>
  <c r="L24" i="124"/>
  <c r="K24" i="124"/>
  <c r="J24" i="124"/>
  <c r="I24" i="124"/>
  <c r="H24" i="124"/>
  <c r="G24" i="124"/>
  <c r="F24" i="124"/>
  <c r="E24" i="124"/>
  <c r="D24" i="124"/>
  <c r="C24" i="124"/>
  <c r="B24" i="124"/>
  <c r="O25" i="124" s="1"/>
  <c r="P23" i="124"/>
  <c r="O23" i="124"/>
  <c r="P21" i="57" s="1"/>
  <c r="P22" i="124"/>
  <c r="O22" i="124"/>
  <c r="P20" i="57" s="1"/>
  <c r="P21" i="124"/>
  <c r="O21" i="124"/>
  <c r="P19" i="57" s="1"/>
  <c r="P20" i="124"/>
  <c r="O20" i="124"/>
  <c r="P18" i="57" s="1"/>
  <c r="P19" i="124"/>
  <c r="O19" i="124"/>
  <c r="P17" i="57" s="1"/>
  <c r="P18" i="124"/>
  <c r="O18" i="124"/>
  <c r="P16" i="57" s="1"/>
  <c r="P17" i="124"/>
  <c r="O17" i="124"/>
  <c r="P15" i="57" s="1"/>
  <c r="P16" i="124"/>
  <c r="O16" i="124"/>
  <c r="P14" i="57" s="1"/>
  <c r="P15" i="124"/>
  <c r="O15" i="124"/>
  <c r="P13" i="57" s="1"/>
  <c r="P14" i="124"/>
  <c r="O14" i="124"/>
  <c r="P12" i="57" s="1"/>
  <c r="P13" i="124"/>
  <c r="O13" i="124"/>
  <c r="P11" i="57" s="1"/>
  <c r="P12" i="124"/>
  <c r="O12" i="124"/>
  <c r="P10" i="57" s="1"/>
  <c r="P11" i="124"/>
  <c r="O11" i="124"/>
  <c r="P9" i="57" s="1"/>
  <c r="P10" i="124"/>
  <c r="O10" i="124"/>
  <c r="P8" i="57" s="1"/>
  <c r="P9" i="124"/>
  <c r="O9" i="124"/>
  <c r="P7" i="57" s="1"/>
  <c r="P8" i="124"/>
  <c r="O8" i="124"/>
  <c r="P6" i="57" s="1"/>
  <c r="P7" i="124"/>
  <c r="O7" i="124"/>
  <c r="P5" i="57" s="1"/>
  <c r="P6" i="124"/>
  <c r="O6" i="124"/>
  <c r="P4" i="57" s="1"/>
  <c r="P5" i="124"/>
  <c r="O5" i="124"/>
  <c r="P3" i="57" s="1"/>
  <c r="P4" i="124"/>
  <c r="O4" i="124"/>
  <c r="G58" i="123"/>
  <c r="B35" i="123"/>
  <c r="B34" i="123"/>
  <c r="B33" i="123"/>
  <c r="N24" i="123"/>
  <c r="M24" i="123"/>
  <c r="L24" i="123"/>
  <c r="K24" i="123"/>
  <c r="J24" i="123"/>
  <c r="I24" i="123"/>
  <c r="H24" i="123"/>
  <c r="G24" i="123"/>
  <c r="F24" i="123"/>
  <c r="E24" i="123"/>
  <c r="D24" i="123"/>
  <c r="C24" i="123"/>
  <c r="P25" i="123" s="1"/>
  <c r="B24" i="123"/>
  <c r="O25" i="123" s="1"/>
  <c r="P23" i="123"/>
  <c r="O23" i="123"/>
  <c r="O21" i="57" s="1"/>
  <c r="P22" i="123"/>
  <c r="O22" i="123"/>
  <c r="O20" i="57" s="1"/>
  <c r="P21" i="123"/>
  <c r="O21" i="123"/>
  <c r="O19" i="57" s="1"/>
  <c r="P20" i="123"/>
  <c r="O20" i="123"/>
  <c r="O18" i="57" s="1"/>
  <c r="P19" i="123"/>
  <c r="O19" i="123"/>
  <c r="O17" i="57" s="1"/>
  <c r="P18" i="123"/>
  <c r="O18" i="123"/>
  <c r="O16" i="57" s="1"/>
  <c r="P17" i="123"/>
  <c r="O17" i="123"/>
  <c r="O15" i="57" s="1"/>
  <c r="P16" i="123"/>
  <c r="O16" i="123"/>
  <c r="O14" i="57" s="1"/>
  <c r="P15" i="123"/>
  <c r="O15" i="123"/>
  <c r="O13" i="57" s="1"/>
  <c r="P14" i="123"/>
  <c r="O14" i="123"/>
  <c r="O12" i="57" s="1"/>
  <c r="P13" i="123"/>
  <c r="O13" i="123"/>
  <c r="O11" i="57" s="1"/>
  <c r="P12" i="123"/>
  <c r="O12" i="123"/>
  <c r="O10" i="57" s="1"/>
  <c r="P11" i="123"/>
  <c r="O11" i="123"/>
  <c r="O9" i="57" s="1"/>
  <c r="P10" i="123"/>
  <c r="O10" i="123"/>
  <c r="O8" i="57" s="1"/>
  <c r="P9" i="123"/>
  <c r="O9" i="123"/>
  <c r="O7" i="57" s="1"/>
  <c r="P8" i="123"/>
  <c r="O8" i="123"/>
  <c r="O6" i="57" s="1"/>
  <c r="P7" i="123"/>
  <c r="O7" i="123"/>
  <c r="O5" i="57" s="1"/>
  <c r="P6" i="123"/>
  <c r="O6" i="123"/>
  <c r="O4" i="57" s="1"/>
  <c r="P5" i="123"/>
  <c r="O5" i="123"/>
  <c r="O3" i="57" s="1"/>
  <c r="P4" i="123"/>
  <c r="P24" i="123" s="1"/>
  <c r="B27" i="123" s="1"/>
  <c r="O4" i="123"/>
  <c r="G58" i="122"/>
  <c r="B35" i="122"/>
  <c r="B34" i="122"/>
  <c r="B33" i="122"/>
  <c r="N24" i="122"/>
  <c r="M24" i="122"/>
  <c r="L24" i="122"/>
  <c r="K24" i="122"/>
  <c r="J24" i="122"/>
  <c r="I24" i="122"/>
  <c r="H24" i="122"/>
  <c r="G24" i="122"/>
  <c r="F24" i="122"/>
  <c r="E24" i="122"/>
  <c r="D24" i="122"/>
  <c r="C24" i="122"/>
  <c r="P25" i="122" s="1"/>
  <c r="B24" i="122"/>
  <c r="P23" i="122"/>
  <c r="O23" i="122"/>
  <c r="N21" i="57" s="1"/>
  <c r="P22" i="122"/>
  <c r="O22" i="122"/>
  <c r="N20" i="57" s="1"/>
  <c r="P21" i="122"/>
  <c r="O21" i="122"/>
  <c r="N19" i="57" s="1"/>
  <c r="P20" i="122"/>
  <c r="O20" i="122"/>
  <c r="N18" i="57" s="1"/>
  <c r="P19" i="122"/>
  <c r="O19" i="122"/>
  <c r="N17" i="57" s="1"/>
  <c r="P18" i="122"/>
  <c r="O18" i="122"/>
  <c r="N16" i="57" s="1"/>
  <c r="P17" i="122"/>
  <c r="O17" i="122"/>
  <c r="N15" i="57" s="1"/>
  <c r="P16" i="122"/>
  <c r="O16" i="122"/>
  <c r="N14" i="57" s="1"/>
  <c r="P15" i="122"/>
  <c r="O15" i="122"/>
  <c r="N13" i="57" s="1"/>
  <c r="P14" i="122"/>
  <c r="O14" i="122"/>
  <c r="N12" i="57" s="1"/>
  <c r="P13" i="122"/>
  <c r="O13" i="122"/>
  <c r="N11" i="57" s="1"/>
  <c r="P12" i="122"/>
  <c r="O12" i="122"/>
  <c r="N10" i="57" s="1"/>
  <c r="P11" i="122"/>
  <c r="O11" i="122"/>
  <c r="N9" i="57" s="1"/>
  <c r="P10" i="122"/>
  <c r="O10" i="122"/>
  <c r="N8" i="57" s="1"/>
  <c r="P9" i="122"/>
  <c r="O9" i="122"/>
  <c r="N7" i="57" s="1"/>
  <c r="P8" i="122"/>
  <c r="O8" i="122"/>
  <c r="N6" i="57" s="1"/>
  <c r="P7" i="122"/>
  <c r="O7" i="122"/>
  <c r="N5" i="57" s="1"/>
  <c r="P6" i="122"/>
  <c r="O6" i="122"/>
  <c r="N4" i="57" s="1"/>
  <c r="P5" i="122"/>
  <c r="O5" i="122"/>
  <c r="N3" i="57" s="1"/>
  <c r="P4" i="122"/>
  <c r="P24" i="122" s="1"/>
  <c r="B27" i="122" s="1"/>
  <c r="O4" i="122"/>
  <c r="G58" i="121"/>
  <c r="B35" i="121"/>
  <c r="B34" i="121"/>
  <c r="B33" i="121"/>
  <c r="N24" i="121"/>
  <c r="M24" i="121"/>
  <c r="L24" i="121"/>
  <c r="K24" i="121"/>
  <c r="J24" i="121"/>
  <c r="I24" i="121"/>
  <c r="H24" i="121"/>
  <c r="G24" i="121"/>
  <c r="F24" i="121"/>
  <c r="E24" i="121"/>
  <c r="D24" i="121"/>
  <c r="C24" i="121"/>
  <c r="B24" i="121"/>
  <c r="P23" i="121"/>
  <c r="O23" i="121"/>
  <c r="M21" i="57" s="1"/>
  <c r="P22" i="121"/>
  <c r="O22" i="121"/>
  <c r="M20" i="57" s="1"/>
  <c r="P21" i="121"/>
  <c r="O21" i="121"/>
  <c r="M19" i="57" s="1"/>
  <c r="P20" i="121"/>
  <c r="O20" i="121"/>
  <c r="M18" i="57" s="1"/>
  <c r="P19" i="121"/>
  <c r="O19" i="121"/>
  <c r="M17" i="57" s="1"/>
  <c r="P18" i="121"/>
  <c r="O18" i="121"/>
  <c r="M16" i="57" s="1"/>
  <c r="P17" i="121"/>
  <c r="O17" i="121"/>
  <c r="M15" i="57" s="1"/>
  <c r="P16" i="121"/>
  <c r="O16" i="121"/>
  <c r="M14" i="57" s="1"/>
  <c r="P15" i="121"/>
  <c r="O15" i="121"/>
  <c r="M13" i="57" s="1"/>
  <c r="P14" i="121"/>
  <c r="O14" i="121"/>
  <c r="M12" i="57" s="1"/>
  <c r="P13" i="121"/>
  <c r="O13" i="121"/>
  <c r="M11" i="57" s="1"/>
  <c r="P12" i="121"/>
  <c r="O12" i="121"/>
  <c r="M10" i="57" s="1"/>
  <c r="P11" i="121"/>
  <c r="O11" i="121"/>
  <c r="M9" i="57" s="1"/>
  <c r="P10" i="121"/>
  <c r="O10" i="121"/>
  <c r="M8" i="57" s="1"/>
  <c r="P9" i="121"/>
  <c r="O9" i="121"/>
  <c r="M7" i="57" s="1"/>
  <c r="P8" i="121"/>
  <c r="O8" i="121"/>
  <c r="M6" i="57" s="1"/>
  <c r="P7" i="121"/>
  <c r="O7" i="121"/>
  <c r="M5" i="57" s="1"/>
  <c r="P6" i="121"/>
  <c r="O6" i="121"/>
  <c r="M4" i="57" s="1"/>
  <c r="P5" i="121"/>
  <c r="O5" i="121"/>
  <c r="M3" i="57" s="1"/>
  <c r="P4" i="121"/>
  <c r="O4" i="121"/>
  <c r="G59" i="120"/>
  <c r="B35" i="120"/>
  <c r="B34" i="120"/>
  <c r="B33" i="120"/>
  <c r="N24" i="120"/>
  <c r="M24" i="120"/>
  <c r="L24" i="120"/>
  <c r="K24" i="120"/>
  <c r="J24" i="120"/>
  <c r="I24" i="120"/>
  <c r="H24" i="120"/>
  <c r="G24" i="120"/>
  <c r="F24" i="120"/>
  <c r="E24" i="120"/>
  <c r="D24" i="120"/>
  <c r="C24" i="120"/>
  <c r="B24" i="120"/>
  <c r="O25" i="120" s="1"/>
  <c r="P23" i="120"/>
  <c r="O23" i="120"/>
  <c r="L21" i="57" s="1"/>
  <c r="P22" i="120"/>
  <c r="O22" i="120"/>
  <c r="L20" i="57" s="1"/>
  <c r="P21" i="120"/>
  <c r="O21" i="120"/>
  <c r="L19" i="57" s="1"/>
  <c r="P20" i="120"/>
  <c r="O20" i="120"/>
  <c r="L18" i="57" s="1"/>
  <c r="P19" i="120"/>
  <c r="O19" i="120"/>
  <c r="L17" i="57" s="1"/>
  <c r="P18" i="120"/>
  <c r="O18" i="120"/>
  <c r="L16" i="57" s="1"/>
  <c r="P17" i="120"/>
  <c r="O17" i="120"/>
  <c r="L15" i="57" s="1"/>
  <c r="P16" i="120"/>
  <c r="O16" i="120"/>
  <c r="L14" i="57" s="1"/>
  <c r="P15" i="120"/>
  <c r="O15" i="120"/>
  <c r="L13" i="57" s="1"/>
  <c r="P14" i="120"/>
  <c r="O14" i="120"/>
  <c r="L12" i="57" s="1"/>
  <c r="P13" i="120"/>
  <c r="O13" i="120"/>
  <c r="L11" i="57" s="1"/>
  <c r="P12" i="120"/>
  <c r="O12" i="120"/>
  <c r="L10" i="57" s="1"/>
  <c r="P11" i="120"/>
  <c r="O11" i="120"/>
  <c r="L9" i="57" s="1"/>
  <c r="P10" i="120"/>
  <c r="O10" i="120"/>
  <c r="L8" i="57" s="1"/>
  <c r="P9" i="120"/>
  <c r="O9" i="120"/>
  <c r="L7" i="57" s="1"/>
  <c r="P8" i="120"/>
  <c r="O8" i="120"/>
  <c r="L6" i="57" s="1"/>
  <c r="P7" i="120"/>
  <c r="O7" i="120"/>
  <c r="L5" i="57" s="1"/>
  <c r="P6" i="120"/>
  <c r="O6" i="120"/>
  <c r="L4" i="57" s="1"/>
  <c r="P5" i="120"/>
  <c r="O5" i="120"/>
  <c r="L3" i="57" s="1"/>
  <c r="P4" i="120"/>
  <c r="O4" i="120"/>
  <c r="G60" i="119"/>
  <c r="B35" i="119"/>
  <c r="B34" i="119"/>
  <c r="B33" i="119"/>
  <c r="N24" i="119"/>
  <c r="M24" i="119"/>
  <c r="L24" i="119"/>
  <c r="K24" i="119"/>
  <c r="J24" i="119"/>
  <c r="I24" i="119"/>
  <c r="H24" i="119"/>
  <c r="G24" i="119"/>
  <c r="F24" i="119"/>
  <c r="E24" i="119"/>
  <c r="D24" i="119"/>
  <c r="C24" i="119"/>
  <c r="P25" i="119" s="1"/>
  <c r="B24" i="119"/>
  <c r="O25" i="119" s="1"/>
  <c r="P23" i="119"/>
  <c r="O23" i="119"/>
  <c r="K21" i="57" s="1"/>
  <c r="P22" i="119"/>
  <c r="O22" i="119"/>
  <c r="K20" i="57" s="1"/>
  <c r="P21" i="119"/>
  <c r="O21" i="119"/>
  <c r="K19" i="57" s="1"/>
  <c r="P20" i="119"/>
  <c r="O20" i="119"/>
  <c r="K18" i="57" s="1"/>
  <c r="P19" i="119"/>
  <c r="O19" i="119"/>
  <c r="K17" i="57" s="1"/>
  <c r="P18" i="119"/>
  <c r="O18" i="119"/>
  <c r="K16" i="57" s="1"/>
  <c r="P17" i="119"/>
  <c r="O17" i="119"/>
  <c r="K15" i="57" s="1"/>
  <c r="P16" i="119"/>
  <c r="O16" i="119"/>
  <c r="K14" i="57" s="1"/>
  <c r="P15" i="119"/>
  <c r="O15" i="119"/>
  <c r="K13" i="57" s="1"/>
  <c r="P14" i="119"/>
  <c r="O14" i="119"/>
  <c r="K12" i="57" s="1"/>
  <c r="P13" i="119"/>
  <c r="O13" i="119"/>
  <c r="K11" i="57" s="1"/>
  <c r="P12" i="119"/>
  <c r="O12" i="119"/>
  <c r="K10" i="57" s="1"/>
  <c r="P11" i="119"/>
  <c r="O11" i="119"/>
  <c r="K9" i="57" s="1"/>
  <c r="P10" i="119"/>
  <c r="O10" i="119"/>
  <c r="K8" i="57" s="1"/>
  <c r="P9" i="119"/>
  <c r="O9" i="119"/>
  <c r="K7" i="57" s="1"/>
  <c r="P8" i="119"/>
  <c r="O8" i="119"/>
  <c r="K6" i="57" s="1"/>
  <c r="P7" i="119"/>
  <c r="O7" i="119"/>
  <c r="K5" i="57" s="1"/>
  <c r="P6" i="119"/>
  <c r="O6" i="119"/>
  <c r="K4" i="57" s="1"/>
  <c r="P5" i="119"/>
  <c r="O5" i="119"/>
  <c r="K3" i="57" s="1"/>
  <c r="P4" i="119"/>
  <c r="O4" i="119"/>
  <c r="G59" i="118"/>
  <c r="B35" i="118"/>
  <c r="B34" i="118"/>
  <c r="B33" i="118"/>
  <c r="N24" i="118"/>
  <c r="M24" i="118"/>
  <c r="L24" i="118"/>
  <c r="K24" i="118"/>
  <c r="J24" i="118"/>
  <c r="I24" i="118"/>
  <c r="H24" i="118"/>
  <c r="G24" i="118"/>
  <c r="F24" i="118"/>
  <c r="E24" i="118"/>
  <c r="D24" i="118"/>
  <c r="C24" i="118"/>
  <c r="P25" i="118" s="1"/>
  <c r="B24" i="118"/>
  <c r="P23" i="118"/>
  <c r="O23" i="118"/>
  <c r="J21" i="57" s="1"/>
  <c r="P22" i="118"/>
  <c r="O22" i="118"/>
  <c r="J20" i="57" s="1"/>
  <c r="P21" i="118"/>
  <c r="O21" i="118"/>
  <c r="J19" i="57" s="1"/>
  <c r="P20" i="118"/>
  <c r="O20" i="118"/>
  <c r="J18" i="57" s="1"/>
  <c r="P19" i="118"/>
  <c r="O19" i="118"/>
  <c r="J17" i="57" s="1"/>
  <c r="P18" i="118"/>
  <c r="O18" i="118"/>
  <c r="J16" i="57" s="1"/>
  <c r="P17" i="118"/>
  <c r="O17" i="118"/>
  <c r="J15" i="57" s="1"/>
  <c r="P16" i="118"/>
  <c r="O16" i="118"/>
  <c r="J14" i="57" s="1"/>
  <c r="P15" i="118"/>
  <c r="O15" i="118"/>
  <c r="J13" i="57" s="1"/>
  <c r="P14" i="118"/>
  <c r="O14" i="118"/>
  <c r="J12" i="57" s="1"/>
  <c r="P13" i="118"/>
  <c r="O13" i="118"/>
  <c r="J11" i="57" s="1"/>
  <c r="P12" i="118"/>
  <c r="O12" i="118"/>
  <c r="J10" i="57" s="1"/>
  <c r="P11" i="118"/>
  <c r="O11" i="118"/>
  <c r="J9" i="57" s="1"/>
  <c r="P10" i="118"/>
  <c r="O10" i="118"/>
  <c r="J8" i="57" s="1"/>
  <c r="P9" i="118"/>
  <c r="O9" i="118"/>
  <c r="J7" i="57" s="1"/>
  <c r="P8" i="118"/>
  <c r="O8" i="118"/>
  <c r="J6" i="57" s="1"/>
  <c r="P7" i="118"/>
  <c r="O7" i="118"/>
  <c r="J5" i="57" s="1"/>
  <c r="P6" i="118"/>
  <c r="O6" i="118"/>
  <c r="J4" i="57" s="1"/>
  <c r="P5" i="118"/>
  <c r="O5" i="118"/>
  <c r="J3" i="57" s="1"/>
  <c r="P4" i="118"/>
  <c r="P24" i="118" s="1"/>
  <c r="B27" i="118" s="1"/>
  <c r="O4" i="118"/>
  <c r="J2" i="57" s="1"/>
  <c r="G58" i="117"/>
  <c r="B35" i="117"/>
  <c r="B34" i="117"/>
  <c r="B33" i="117"/>
  <c r="N24" i="117"/>
  <c r="M24" i="117"/>
  <c r="L24" i="117"/>
  <c r="K24" i="117"/>
  <c r="J24" i="117"/>
  <c r="I24" i="117"/>
  <c r="H24" i="117"/>
  <c r="G24" i="117"/>
  <c r="F24" i="117"/>
  <c r="E24" i="117"/>
  <c r="D24" i="117"/>
  <c r="C24" i="117"/>
  <c r="B24" i="117"/>
  <c r="P23" i="117"/>
  <c r="O23" i="117"/>
  <c r="I21" i="57" s="1"/>
  <c r="P22" i="117"/>
  <c r="O22" i="117"/>
  <c r="I20" i="57" s="1"/>
  <c r="P21" i="117"/>
  <c r="O21" i="117"/>
  <c r="I19" i="57" s="1"/>
  <c r="P20" i="117"/>
  <c r="O20" i="117"/>
  <c r="I18" i="57" s="1"/>
  <c r="P19" i="117"/>
  <c r="O19" i="117"/>
  <c r="I17" i="57" s="1"/>
  <c r="P18" i="117"/>
  <c r="O18" i="117"/>
  <c r="I16" i="57" s="1"/>
  <c r="P17" i="117"/>
  <c r="O17" i="117"/>
  <c r="I15" i="57" s="1"/>
  <c r="P16" i="117"/>
  <c r="O16" i="117"/>
  <c r="I14" i="57" s="1"/>
  <c r="P15" i="117"/>
  <c r="O15" i="117"/>
  <c r="I13" i="57" s="1"/>
  <c r="P14" i="117"/>
  <c r="O14" i="117"/>
  <c r="I12" i="57" s="1"/>
  <c r="P13" i="117"/>
  <c r="O13" i="117"/>
  <c r="I11" i="57" s="1"/>
  <c r="P12" i="117"/>
  <c r="O12" i="117"/>
  <c r="I10" i="57" s="1"/>
  <c r="P11" i="117"/>
  <c r="O11" i="117"/>
  <c r="I9" i="57" s="1"/>
  <c r="P10" i="117"/>
  <c r="O10" i="117"/>
  <c r="I8" i="57" s="1"/>
  <c r="P9" i="117"/>
  <c r="O9" i="117"/>
  <c r="I7" i="57" s="1"/>
  <c r="P8" i="117"/>
  <c r="O8" i="117"/>
  <c r="I6" i="57" s="1"/>
  <c r="P7" i="117"/>
  <c r="O7" i="117"/>
  <c r="I5" i="57" s="1"/>
  <c r="P6" i="117"/>
  <c r="O6" i="117"/>
  <c r="I4" i="57" s="1"/>
  <c r="P5" i="117"/>
  <c r="O5" i="117"/>
  <c r="I3" i="57" s="1"/>
  <c r="P4" i="117"/>
  <c r="O4" i="117"/>
  <c r="I2" i="57" s="1"/>
  <c r="G58" i="116"/>
  <c r="B35" i="116"/>
  <c r="B34" i="116"/>
  <c r="B33" i="116"/>
  <c r="N24" i="116"/>
  <c r="M24" i="116"/>
  <c r="L24" i="116"/>
  <c r="K24" i="116"/>
  <c r="J24" i="116"/>
  <c r="I24" i="116"/>
  <c r="H24" i="116"/>
  <c r="G24" i="116"/>
  <c r="F24" i="116"/>
  <c r="E24" i="116"/>
  <c r="D24" i="116"/>
  <c r="C24" i="116"/>
  <c r="B24" i="116"/>
  <c r="P23" i="116"/>
  <c r="O23" i="116"/>
  <c r="H21" i="57" s="1"/>
  <c r="P22" i="116"/>
  <c r="O22" i="116"/>
  <c r="H20" i="57" s="1"/>
  <c r="P21" i="116"/>
  <c r="O21" i="116"/>
  <c r="H19" i="57" s="1"/>
  <c r="P20" i="116"/>
  <c r="O20" i="116"/>
  <c r="H18" i="57" s="1"/>
  <c r="P19" i="116"/>
  <c r="O19" i="116"/>
  <c r="H17" i="57" s="1"/>
  <c r="P18" i="116"/>
  <c r="O18" i="116"/>
  <c r="H16" i="57" s="1"/>
  <c r="P17" i="116"/>
  <c r="O17" i="116"/>
  <c r="H15" i="57" s="1"/>
  <c r="P16" i="116"/>
  <c r="O16" i="116"/>
  <c r="H14" i="57" s="1"/>
  <c r="P15" i="116"/>
  <c r="O15" i="116"/>
  <c r="H13" i="57" s="1"/>
  <c r="P14" i="116"/>
  <c r="O14" i="116"/>
  <c r="H12" i="57" s="1"/>
  <c r="P13" i="116"/>
  <c r="O13" i="116"/>
  <c r="H11" i="57" s="1"/>
  <c r="P12" i="116"/>
  <c r="O12" i="116"/>
  <c r="H10" i="57" s="1"/>
  <c r="P11" i="116"/>
  <c r="O11" i="116"/>
  <c r="H9" i="57" s="1"/>
  <c r="P10" i="116"/>
  <c r="O10" i="116"/>
  <c r="H8" i="57" s="1"/>
  <c r="P9" i="116"/>
  <c r="O9" i="116"/>
  <c r="H7" i="57" s="1"/>
  <c r="P8" i="116"/>
  <c r="O8" i="116"/>
  <c r="H6" i="57" s="1"/>
  <c r="P7" i="116"/>
  <c r="O7" i="116"/>
  <c r="H5" i="57" s="1"/>
  <c r="P6" i="116"/>
  <c r="O6" i="116"/>
  <c r="H4" i="57" s="1"/>
  <c r="P5" i="116"/>
  <c r="O5" i="116"/>
  <c r="H3" i="57" s="1"/>
  <c r="P4" i="116"/>
  <c r="O4" i="116"/>
  <c r="G58" i="115"/>
  <c r="B35" i="115"/>
  <c r="B34" i="115"/>
  <c r="B33" i="115"/>
  <c r="N24" i="115"/>
  <c r="M24" i="115"/>
  <c r="L24" i="115"/>
  <c r="K24" i="115"/>
  <c r="J24" i="115"/>
  <c r="I24" i="115"/>
  <c r="H24" i="115"/>
  <c r="G24" i="115"/>
  <c r="F24" i="115"/>
  <c r="E24" i="115"/>
  <c r="D24" i="115"/>
  <c r="C24" i="115"/>
  <c r="B24" i="115"/>
  <c r="P23" i="115"/>
  <c r="O23" i="115"/>
  <c r="G21" i="57" s="1"/>
  <c r="P22" i="115"/>
  <c r="O22" i="115"/>
  <c r="G20" i="57" s="1"/>
  <c r="P21" i="115"/>
  <c r="O21" i="115"/>
  <c r="G19" i="57" s="1"/>
  <c r="P20" i="115"/>
  <c r="O20" i="115"/>
  <c r="G18" i="57" s="1"/>
  <c r="P19" i="115"/>
  <c r="O19" i="115"/>
  <c r="G17" i="57" s="1"/>
  <c r="P18" i="115"/>
  <c r="O18" i="115"/>
  <c r="G16" i="57" s="1"/>
  <c r="P17" i="115"/>
  <c r="O17" i="115"/>
  <c r="G15" i="57" s="1"/>
  <c r="P16" i="115"/>
  <c r="O16" i="115"/>
  <c r="G14" i="57" s="1"/>
  <c r="P15" i="115"/>
  <c r="O15" i="115"/>
  <c r="G13" i="57" s="1"/>
  <c r="P14" i="115"/>
  <c r="O14" i="115"/>
  <c r="G12" i="57" s="1"/>
  <c r="P13" i="115"/>
  <c r="P12" i="115"/>
  <c r="O12" i="115"/>
  <c r="G10" i="57" s="1"/>
  <c r="P11" i="115"/>
  <c r="O11" i="115"/>
  <c r="G9" i="57" s="1"/>
  <c r="P10" i="115"/>
  <c r="O10" i="115"/>
  <c r="G8" i="57" s="1"/>
  <c r="P9" i="115"/>
  <c r="O9" i="115"/>
  <c r="G7" i="57" s="1"/>
  <c r="P8" i="115"/>
  <c r="O8" i="115"/>
  <c r="G6" i="57" s="1"/>
  <c r="P7" i="115"/>
  <c r="O7" i="115"/>
  <c r="G5" i="57" s="1"/>
  <c r="P6" i="115"/>
  <c r="O6" i="115"/>
  <c r="G4" i="57" s="1"/>
  <c r="P5" i="115"/>
  <c r="O5" i="115"/>
  <c r="G3" i="57" s="1"/>
  <c r="P4" i="115"/>
  <c r="O4" i="115"/>
  <c r="G2" i="57" s="1"/>
  <c r="G58" i="114"/>
  <c r="B35" i="114"/>
  <c r="B34" i="114"/>
  <c r="B33" i="114"/>
  <c r="N24" i="114"/>
  <c r="M24" i="114"/>
  <c r="L24" i="114"/>
  <c r="K24" i="114"/>
  <c r="J24" i="114"/>
  <c r="I24" i="114"/>
  <c r="H24" i="114"/>
  <c r="G24" i="114"/>
  <c r="F24" i="114"/>
  <c r="E24" i="114"/>
  <c r="D24" i="114"/>
  <c r="C24" i="114"/>
  <c r="P25" i="114" s="1"/>
  <c r="B24" i="114"/>
  <c r="P23" i="114"/>
  <c r="O23" i="114"/>
  <c r="F21" i="57" s="1"/>
  <c r="P22" i="114"/>
  <c r="O22" i="114"/>
  <c r="F20" i="57" s="1"/>
  <c r="P21" i="114"/>
  <c r="O21" i="114"/>
  <c r="F19" i="57" s="1"/>
  <c r="P20" i="114"/>
  <c r="O20" i="114"/>
  <c r="F18" i="57" s="1"/>
  <c r="P19" i="114"/>
  <c r="O19" i="114"/>
  <c r="F17" i="57" s="1"/>
  <c r="P18" i="114"/>
  <c r="O18" i="114"/>
  <c r="F16" i="57" s="1"/>
  <c r="P17" i="114"/>
  <c r="O17" i="114"/>
  <c r="F15" i="57" s="1"/>
  <c r="P16" i="114"/>
  <c r="O16" i="114"/>
  <c r="F14" i="57" s="1"/>
  <c r="P15" i="114"/>
  <c r="O15" i="114"/>
  <c r="F13" i="57" s="1"/>
  <c r="P14" i="114"/>
  <c r="O14" i="114"/>
  <c r="F12" i="57" s="1"/>
  <c r="P13" i="114"/>
  <c r="O13" i="114"/>
  <c r="F11" i="57" s="1"/>
  <c r="P12" i="114"/>
  <c r="O12" i="114"/>
  <c r="F10" i="57" s="1"/>
  <c r="P11" i="114"/>
  <c r="O11" i="114"/>
  <c r="F9" i="57" s="1"/>
  <c r="P10" i="114"/>
  <c r="O10" i="114"/>
  <c r="F8" i="57" s="1"/>
  <c r="P9" i="114"/>
  <c r="O9" i="114"/>
  <c r="F7" i="57" s="1"/>
  <c r="P8" i="114"/>
  <c r="O8" i="114"/>
  <c r="F6" i="57" s="1"/>
  <c r="P7" i="114"/>
  <c r="O7" i="114"/>
  <c r="F5" i="57" s="1"/>
  <c r="P6" i="114"/>
  <c r="O6" i="114"/>
  <c r="F4" i="57" s="1"/>
  <c r="P5" i="114"/>
  <c r="O5" i="114"/>
  <c r="F3" i="57" s="1"/>
  <c r="P4" i="114"/>
  <c r="P24" i="114" s="1"/>
  <c r="B27" i="114" s="1"/>
  <c r="O4" i="114"/>
  <c r="F2" i="57" s="1"/>
  <c r="G58" i="113"/>
  <c r="B35" i="113"/>
  <c r="B34" i="113"/>
  <c r="N24" i="113"/>
  <c r="M24" i="113"/>
  <c r="L24" i="113"/>
  <c r="K24" i="113"/>
  <c r="J24" i="113"/>
  <c r="I24" i="113"/>
  <c r="H24" i="113"/>
  <c r="G24" i="113"/>
  <c r="F24" i="113"/>
  <c r="E24" i="113"/>
  <c r="D24" i="113"/>
  <c r="C24" i="113"/>
  <c r="P25" i="113" s="1"/>
  <c r="B24" i="113"/>
  <c r="P23" i="113"/>
  <c r="O23" i="113"/>
  <c r="E21" i="57" s="1"/>
  <c r="P22" i="113"/>
  <c r="O22" i="113"/>
  <c r="E20" i="57" s="1"/>
  <c r="P21" i="113"/>
  <c r="O21" i="113"/>
  <c r="E19" i="57" s="1"/>
  <c r="P20" i="113"/>
  <c r="O20" i="113"/>
  <c r="E18" i="57" s="1"/>
  <c r="P19" i="113"/>
  <c r="O19" i="113"/>
  <c r="E17" i="57" s="1"/>
  <c r="P18" i="113"/>
  <c r="O18" i="113"/>
  <c r="E16" i="57" s="1"/>
  <c r="P17" i="113"/>
  <c r="O17" i="113"/>
  <c r="E15" i="57" s="1"/>
  <c r="P16" i="113"/>
  <c r="O16" i="113"/>
  <c r="E14" i="57" s="1"/>
  <c r="P15" i="113"/>
  <c r="O15" i="113"/>
  <c r="E13" i="57" s="1"/>
  <c r="P14" i="113"/>
  <c r="O14" i="113"/>
  <c r="E12" i="57" s="1"/>
  <c r="P13" i="113"/>
  <c r="O13" i="113"/>
  <c r="E11" i="57" s="1"/>
  <c r="P12" i="113"/>
  <c r="O12" i="113"/>
  <c r="E10" i="57" s="1"/>
  <c r="P11" i="113"/>
  <c r="O11" i="113"/>
  <c r="E9" i="57" s="1"/>
  <c r="P10" i="113"/>
  <c r="O10" i="113"/>
  <c r="E8" i="57" s="1"/>
  <c r="P9" i="113"/>
  <c r="O9" i="113"/>
  <c r="E7" i="57" s="1"/>
  <c r="P8" i="113"/>
  <c r="O8" i="113"/>
  <c r="E6" i="57" s="1"/>
  <c r="P7" i="113"/>
  <c r="O7" i="113"/>
  <c r="E5" i="57" s="1"/>
  <c r="P6" i="113"/>
  <c r="O6" i="113"/>
  <c r="E4" i="57" s="1"/>
  <c r="P5" i="113"/>
  <c r="O5" i="113"/>
  <c r="E3" i="57" s="1"/>
  <c r="P4" i="113"/>
  <c r="P24" i="113" s="1"/>
  <c r="B27" i="113" s="1"/>
  <c r="O4" i="113"/>
  <c r="E2" i="57" s="1"/>
  <c r="G58" i="112"/>
  <c r="B35" i="112"/>
  <c r="B34" i="112"/>
  <c r="B33" i="112"/>
  <c r="N24" i="112"/>
  <c r="M24" i="112"/>
  <c r="L24" i="112"/>
  <c r="K24" i="112"/>
  <c r="J24" i="112"/>
  <c r="I24" i="112"/>
  <c r="H24" i="112"/>
  <c r="G24" i="112"/>
  <c r="F24" i="112"/>
  <c r="E24" i="112"/>
  <c r="D24" i="112"/>
  <c r="C24" i="112"/>
  <c r="P25" i="112" s="1"/>
  <c r="B24" i="112"/>
  <c r="P23" i="112"/>
  <c r="O23" i="112"/>
  <c r="D21" i="57" s="1"/>
  <c r="P22" i="112"/>
  <c r="O22" i="112"/>
  <c r="D20" i="57" s="1"/>
  <c r="P21" i="112"/>
  <c r="O21" i="112"/>
  <c r="D19" i="57" s="1"/>
  <c r="P20" i="112"/>
  <c r="O20" i="112"/>
  <c r="D18" i="57" s="1"/>
  <c r="P19" i="112"/>
  <c r="O19" i="112"/>
  <c r="D17" i="57" s="1"/>
  <c r="P18" i="112"/>
  <c r="O18" i="112"/>
  <c r="D16" i="57" s="1"/>
  <c r="P17" i="112"/>
  <c r="O17" i="112"/>
  <c r="D15" i="57" s="1"/>
  <c r="P16" i="112"/>
  <c r="O16" i="112"/>
  <c r="D14" i="57" s="1"/>
  <c r="P15" i="112"/>
  <c r="O15" i="112"/>
  <c r="D13" i="57" s="1"/>
  <c r="P14" i="112"/>
  <c r="O14" i="112"/>
  <c r="D12" i="57" s="1"/>
  <c r="P13" i="112"/>
  <c r="O13" i="112"/>
  <c r="D11" i="57" s="1"/>
  <c r="P12" i="112"/>
  <c r="O12" i="112"/>
  <c r="D10" i="57" s="1"/>
  <c r="P11" i="112"/>
  <c r="O11" i="112"/>
  <c r="D9" i="57" s="1"/>
  <c r="P10" i="112"/>
  <c r="O10" i="112"/>
  <c r="D8" i="57" s="1"/>
  <c r="P9" i="112"/>
  <c r="O9" i="112"/>
  <c r="D7" i="57" s="1"/>
  <c r="P8" i="112"/>
  <c r="O8" i="112"/>
  <c r="D6" i="57" s="1"/>
  <c r="P7" i="112"/>
  <c r="O7" i="112"/>
  <c r="D5" i="57" s="1"/>
  <c r="P6" i="112"/>
  <c r="O6" i="112"/>
  <c r="D4" i="57" s="1"/>
  <c r="P5" i="112"/>
  <c r="O5" i="112"/>
  <c r="D3" i="57" s="1"/>
  <c r="P4" i="112"/>
  <c r="O4" i="112"/>
  <c r="D2" i="57" s="1"/>
  <c r="G58" i="111"/>
  <c r="B35" i="111"/>
  <c r="B34" i="111"/>
  <c r="B33" i="111"/>
  <c r="N24" i="111"/>
  <c r="M24" i="111"/>
  <c r="L24" i="111"/>
  <c r="K24" i="111"/>
  <c r="J24" i="111"/>
  <c r="I24" i="111"/>
  <c r="H24" i="111"/>
  <c r="G24" i="111"/>
  <c r="F24" i="111"/>
  <c r="E24" i="111"/>
  <c r="D24" i="111"/>
  <c r="C24" i="111"/>
  <c r="B24" i="111"/>
  <c r="P23" i="111"/>
  <c r="O23" i="111"/>
  <c r="C21" i="57" s="1"/>
  <c r="P22" i="111"/>
  <c r="O22" i="111"/>
  <c r="C20" i="57" s="1"/>
  <c r="P21" i="111"/>
  <c r="O21" i="111"/>
  <c r="C19" i="57" s="1"/>
  <c r="P20" i="111"/>
  <c r="O20" i="111"/>
  <c r="C18" i="57" s="1"/>
  <c r="P19" i="111"/>
  <c r="O19" i="111"/>
  <c r="C17" i="57" s="1"/>
  <c r="P18" i="111"/>
  <c r="O18" i="111"/>
  <c r="C16" i="57" s="1"/>
  <c r="P17" i="111"/>
  <c r="O17" i="111"/>
  <c r="C15" i="57" s="1"/>
  <c r="P16" i="111"/>
  <c r="O16" i="111"/>
  <c r="C14" i="57" s="1"/>
  <c r="P15" i="111"/>
  <c r="O15" i="111"/>
  <c r="C13" i="57" s="1"/>
  <c r="P14" i="111"/>
  <c r="O14" i="111"/>
  <c r="C12" i="57" s="1"/>
  <c r="P13" i="111"/>
  <c r="O13" i="111"/>
  <c r="C11" i="57" s="1"/>
  <c r="P12" i="111"/>
  <c r="O12" i="111"/>
  <c r="C10" i="57" s="1"/>
  <c r="P11" i="111"/>
  <c r="O11" i="111"/>
  <c r="C9" i="57" s="1"/>
  <c r="P10" i="111"/>
  <c r="O10" i="111"/>
  <c r="C8" i="57" s="1"/>
  <c r="P9" i="111"/>
  <c r="O9" i="111"/>
  <c r="C7" i="57" s="1"/>
  <c r="P8" i="111"/>
  <c r="O8" i="111"/>
  <c r="C6" i="57" s="1"/>
  <c r="P7" i="111"/>
  <c r="O7" i="111"/>
  <c r="C5" i="57" s="1"/>
  <c r="P6" i="111"/>
  <c r="O6" i="111"/>
  <c r="C4" i="57" s="1"/>
  <c r="P5" i="111"/>
  <c r="O5" i="111"/>
  <c r="C3" i="57" s="1"/>
  <c r="P4" i="111"/>
  <c r="O4" i="111"/>
  <c r="C2" i="57" s="1"/>
  <c r="H8" i="58"/>
  <c r="H4" i="58"/>
  <c r="H7" i="58" s="1"/>
  <c r="D26" i="58"/>
  <c r="BB15" i="57" l="1"/>
  <c r="BB4" i="57"/>
  <c r="O25" i="154"/>
  <c r="P25" i="154"/>
  <c r="N32" i="153"/>
  <c r="J32" i="153"/>
  <c r="Q32" i="150"/>
  <c r="J32" i="150"/>
  <c r="P25" i="148"/>
  <c r="P25" i="161"/>
  <c r="P25" i="130"/>
  <c r="O24" i="155"/>
  <c r="F32" i="155" s="1"/>
  <c r="P25" i="158"/>
  <c r="O24" i="145"/>
  <c r="F32" i="145" s="1"/>
  <c r="AK2" i="57"/>
  <c r="O24" i="146"/>
  <c r="F32" i="146" s="1"/>
  <c r="AL2" i="57"/>
  <c r="AL36" i="57" s="1"/>
  <c r="O24" i="149"/>
  <c r="F32" i="149" s="1"/>
  <c r="K48" i="149" s="1"/>
  <c r="O25" i="149"/>
  <c r="P24" i="152"/>
  <c r="B27" i="152" s="1"/>
  <c r="P25" i="152"/>
  <c r="O24" i="157"/>
  <c r="F32" i="157" s="1"/>
  <c r="K48" i="157" s="1"/>
  <c r="O25" i="157"/>
  <c r="P24" i="160"/>
  <c r="B27" i="160" s="1"/>
  <c r="P25" i="160"/>
  <c r="O24" i="147"/>
  <c r="F32" i="147" s="1"/>
  <c r="O25" i="147"/>
  <c r="O24" i="144"/>
  <c r="F32" i="144" s="1"/>
  <c r="AJ2" i="57"/>
  <c r="AJ36" i="57" s="1"/>
  <c r="P24" i="116"/>
  <c r="B27" i="116" s="1"/>
  <c r="P25" i="116"/>
  <c r="P24" i="120"/>
  <c r="B27" i="120" s="1"/>
  <c r="P25" i="120"/>
  <c r="O25" i="121"/>
  <c r="P24" i="124"/>
  <c r="B27" i="124" s="1"/>
  <c r="P25" i="124"/>
  <c r="O25" i="132"/>
  <c r="P24" i="145"/>
  <c r="B27" i="145" s="1"/>
  <c r="O25" i="155"/>
  <c r="O25" i="159"/>
  <c r="O24" i="143"/>
  <c r="F32" i="143" s="1"/>
  <c r="K48" i="143" s="1"/>
  <c r="AI2" i="57"/>
  <c r="P24" i="111"/>
  <c r="B27" i="111" s="1"/>
  <c r="P25" i="111"/>
  <c r="P24" i="121"/>
  <c r="B27" i="121" s="1"/>
  <c r="P25" i="121"/>
  <c r="O25" i="122"/>
  <c r="R36" i="57"/>
  <c r="P25" i="127"/>
  <c r="P24" i="131"/>
  <c r="B27" i="131" s="1"/>
  <c r="P24" i="132"/>
  <c r="B27" i="132" s="1"/>
  <c r="P25" i="132"/>
  <c r="O25" i="133"/>
  <c r="O25" i="137"/>
  <c r="O24" i="141"/>
  <c r="F32" i="141" s="1"/>
  <c r="AG2" i="57"/>
  <c r="O25" i="141"/>
  <c r="P24" i="147"/>
  <c r="B27" i="147" s="1"/>
  <c r="P25" i="147"/>
  <c r="O24" i="148"/>
  <c r="F32" i="148" s="1"/>
  <c r="J32" i="148" s="1"/>
  <c r="O25" i="148"/>
  <c r="P24" i="151"/>
  <c r="B27" i="151" s="1"/>
  <c r="P25" i="151"/>
  <c r="O24" i="152"/>
  <c r="F32" i="152" s="1"/>
  <c r="J32" i="152" s="1"/>
  <c r="O25" i="152"/>
  <c r="P24" i="155"/>
  <c r="B27" i="155" s="1"/>
  <c r="P25" i="155"/>
  <c r="O24" i="156"/>
  <c r="F32" i="156" s="1"/>
  <c r="K48" i="156" s="1"/>
  <c r="O25" i="156"/>
  <c r="P24" i="159"/>
  <c r="B27" i="159" s="1"/>
  <c r="P25" i="159"/>
  <c r="O24" i="160"/>
  <c r="F32" i="160" s="1"/>
  <c r="O25" i="160"/>
  <c r="P25" i="134"/>
  <c r="O25" i="129"/>
  <c r="P24" i="141"/>
  <c r="B27" i="141" s="1"/>
  <c r="P25" i="141"/>
  <c r="O25" i="145"/>
  <c r="O24" i="161"/>
  <c r="F32" i="161" s="1"/>
  <c r="O25" i="161"/>
  <c r="J32" i="145"/>
  <c r="J32" i="146" s="1"/>
  <c r="P25" i="144"/>
  <c r="O25" i="144"/>
  <c r="O25" i="143"/>
  <c r="P24" i="142"/>
  <c r="B27" i="142" s="1"/>
  <c r="O25" i="142"/>
  <c r="P25" i="142"/>
  <c r="O24" i="142"/>
  <c r="F32" i="142" s="1"/>
  <c r="O24" i="138"/>
  <c r="F32" i="138" s="1"/>
  <c r="AD2" i="57"/>
  <c r="AD36" i="57" s="1"/>
  <c r="P25" i="131"/>
  <c r="B50" i="132"/>
  <c r="F33" i="132" s="1"/>
  <c r="B50" i="134"/>
  <c r="F33" i="134" s="1"/>
  <c r="B50" i="136"/>
  <c r="E26" i="136" s="1"/>
  <c r="O24" i="137"/>
  <c r="F32" i="137" s="1"/>
  <c r="AC2" i="57"/>
  <c r="B50" i="140"/>
  <c r="F33" i="140" s="1"/>
  <c r="B50" i="142"/>
  <c r="B50" i="144"/>
  <c r="E26" i="144" s="1"/>
  <c r="B50" i="146"/>
  <c r="F33" i="146" s="1"/>
  <c r="J33" i="146" s="1"/>
  <c r="B50" i="148"/>
  <c r="F33" i="148" s="1"/>
  <c r="J33" i="148" s="1"/>
  <c r="B50" i="152"/>
  <c r="F33" i="152" s="1"/>
  <c r="B50" i="156"/>
  <c r="E26" i="156" s="1"/>
  <c r="B50" i="158"/>
  <c r="F33" i="158" s="1"/>
  <c r="B50" i="160"/>
  <c r="F33" i="160" s="1"/>
  <c r="P24" i="140"/>
  <c r="B27" i="140" s="1"/>
  <c r="P25" i="140"/>
  <c r="O25" i="140"/>
  <c r="O24" i="140"/>
  <c r="F32" i="140" s="1"/>
  <c r="P24" i="139"/>
  <c r="B27" i="139" s="1"/>
  <c r="O24" i="139"/>
  <c r="F32" i="139" s="1"/>
  <c r="P25" i="139"/>
  <c r="O25" i="139"/>
  <c r="O24" i="127"/>
  <c r="F32" i="127" s="1"/>
  <c r="K48" i="127" s="1"/>
  <c r="S2" i="57"/>
  <c r="O24" i="129"/>
  <c r="F32" i="129" s="1"/>
  <c r="U2" i="57"/>
  <c r="U36" i="57" s="1"/>
  <c r="B50" i="130"/>
  <c r="F33" i="130" s="1"/>
  <c r="O24" i="131"/>
  <c r="F32" i="131" s="1"/>
  <c r="J32" i="131" s="1"/>
  <c r="W2" i="57"/>
  <c r="O24" i="132"/>
  <c r="F32" i="132" s="1"/>
  <c r="K48" i="132" s="1"/>
  <c r="X2" i="57"/>
  <c r="X36" i="57" s="1"/>
  <c r="O24" i="134"/>
  <c r="F32" i="134" s="1"/>
  <c r="Z2" i="57"/>
  <c r="Z36" i="57" s="1"/>
  <c r="B50" i="135"/>
  <c r="F33" i="135" s="1"/>
  <c r="B50" i="137"/>
  <c r="E26" i="137" s="1"/>
  <c r="B50" i="139"/>
  <c r="F33" i="139" s="1"/>
  <c r="B50" i="143"/>
  <c r="E26" i="143" s="1"/>
  <c r="B50" i="145"/>
  <c r="E26" i="145" s="1"/>
  <c r="B50" i="147"/>
  <c r="E26" i="147" s="1"/>
  <c r="B50" i="149"/>
  <c r="F33" i="149" s="1"/>
  <c r="J33" i="149" s="1"/>
  <c r="N33" i="149" s="1"/>
  <c r="Q33" i="149" s="1"/>
  <c r="B50" i="151"/>
  <c r="E26" i="151" s="1"/>
  <c r="B50" i="153"/>
  <c r="F33" i="153" s="1"/>
  <c r="B50" i="155"/>
  <c r="E26" i="155" s="1"/>
  <c r="B50" i="157"/>
  <c r="F33" i="157" s="1"/>
  <c r="B50" i="161"/>
  <c r="E26" i="161" s="1"/>
  <c r="T6" i="57"/>
  <c r="Q8" i="128"/>
  <c r="R8" i="128" s="1"/>
  <c r="T9" i="57"/>
  <c r="Q11" i="128"/>
  <c r="R11" i="128" s="1"/>
  <c r="T14" i="57"/>
  <c r="Q16" i="128"/>
  <c r="R16" i="128" s="1"/>
  <c r="T15" i="57"/>
  <c r="Q17" i="128"/>
  <c r="R17" i="128" s="1"/>
  <c r="T16" i="57"/>
  <c r="Q18" i="128"/>
  <c r="R18" i="128" s="1"/>
  <c r="O24" i="130"/>
  <c r="F32" i="130" s="1"/>
  <c r="K48" i="130" s="1"/>
  <c r="V2" i="57"/>
  <c r="V36" i="57" s="1"/>
  <c r="O24" i="133"/>
  <c r="F32" i="133" s="1"/>
  <c r="Y2" i="57"/>
  <c r="Y36" i="57" s="1"/>
  <c r="O24" i="135"/>
  <c r="F32" i="135" s="1"/>
  <c r="K48" i="135" s="1"/>
  <c r="AA2" i="57"/>
  <c r="P24" i="136"/>
  <c r="B27" i="136" s="1"/>
  <c r="P25" i="136"/>
  <c r="O24" i="136"/>
  <c r="F32" i="136" s="1"/>
  <c r="O25" i="136"/>
  <c r="P25" i="135"/>
  <c r="P24" i="135"/>
  <c r="B27" i="135" s="1"/>
  <c r="B50" i="133"/>
  <c r="F33" i="133" s="1"/>
  <c r="O25" i="131"/>
  <c r="B50" i="131"/>
  <c r="F33" i="131" s="1"/>
  <c r="B50" i="129"/>
  <c r="F33" i="129" s="1"/>
  <c r="Q4" i="128"/>
  <c r="R4" i="128" s="1"/>
  <c r="Q10" i="128"/>
  <c r="R10" i="128" s="1"/>
  <c r="Q9" i="128"/>
  <c r="R9" i="128" s="1"/>
  <c r="O25" i="128"/>
  <c r="O24" i="128"/>
  <c r="F32" i="128" s="1"/>
  <c r="B50" i="128"/>
  <c r="E26" i="128" s="1"/>
  <c r="P24" i="127"/>
  <c r="B27" i="127" s="1"/>
  <c r="B50" i="127"/>
  <c r="E26" i="127" s="1"/>
  <c r="B68" i="126"/>
  <c r="E39" i="126" s="1"/>
  <c r="O37" i="126"/>
  <c r="F45" i="126" s="1"/>
  <c r="O25" i="115"/>
  <c r="O24" i="119"/>
  <c r="F32" i="119" s="1"/>
  <c r="F38" i="119" s="1"/>
  <c r="F41" i="119" s="1"/>
  <c r="K2" i="57"/>
  <c r="O24" i="121"/>
  <c r="F32" i="121" s="1"/>
  <c r="M2" i="57"/>
  <c r="M36" i="57" s="1"/>
  <c r="O24" i="123"/>
  <c r="F32" i="123" s="1"/>
  <c r="N32" i="123" s="1"/>
  <c r="O2" i="57"/>
  <c r="O36" i="57" s="1"/>
  <c r="B50" i="113"/>
  <c r="O24" i="120"/>
  <c r="F32" i="120" s="1"/>
  <c r="F38" i="120" s="1"/>
  <c r="L2" i="57"/>
  <c r="L36" i="57" s="1"/>
  <c r="O24" i="122"/>
  <c r="F32" i="122" s="1"/>
  <c r="F38" i="122" s="1"/>
  <c r="N2" i="57"/>
  <c r="N36" i="57" s="1"/>
  <c r="O24" i="124"/>
  <c r="F32" i="124" s="1"/>
  <c r="F39" i="124" s="1"/>
  <c r="P2" i="57"/>
  <c r="P36" i="57" s="1"/>
  <c r="B50" i="125"/>
  <c r="P24" i="125"/>
  <c r="B27" i="125" s="1"/>
  <c r="P25" i="125"/>
  <c r="O24" i="125"/>
  <c r="F32" i="125" s="1"/>
  <c r="K48" i="125" s="1"/>
  <c r="K50" i="125" s="1"/>
  <c r="O25" i="125"/>
  <c r="J32" i="123"/>
  <c r="B50" i="123"/>
  <c r="E26" i="123" s="1"/>
  <c r="B50" i="124"/>
  <c r="F33" i="124" s="1"/>
  <c r="F40" i="124" s="1"/>
  <c r="F38" i="121"/>
  <c r="P24" i="119"/>
  <c r="B27" i="119" s="1"/>
  <c r="B50" i="119"/>
  <c r="E27" i="119" s="1"/>
  <c r="O24" i="118"/>
  <c r="F32" i="118" s="1"/>
  <c r="O25" i="118"/>
  <c r="B50" i="118"/>
  <c r="F33" i="118" s="1"/>
  <c r="B50" i="120"/>
  <c r="F33" i="120" s="1"/>
  <c r="F39" i="120" s="1"/>
  <c r="B50" i="122"/>
  <c r="F33" i="122" s="1"/>
  <c r="O25" i="117"/>
  <c r="O24" i="117"/>
  <c r="F32" i="117" s="1"/>
  <c r="P24" i="117"/>
  <c r="B27" i="117" s="1"/>
  <c r="P25" i="117"/>
  <c r="B50" i="117"/>
  <c r="E26" i="117" s="1"/>
  <c r="O24" i="116"/>
  <c r="F32" i="116" s="1"/>
  <c r="H2" i="57"/>
  <c r="H36" i="57" s="1"/>
  <c r="O25" i="116"/>
  <c r="B50" i="116"/>
  <c r="F33" i="116" s="1"/>
  <c r="B50" i="138"/>
  <c r="F33" i="138" s="1"/>
  <c r="B50" i="150"/>
  <c r="F33" i="150" s="1"/>
  <c r="B50" i="154"/>
  <c r="F33" i="154" s="1"/>
  <c r="J33" i="154" s="1"/>
  <c r="B50" i="121"/>
  <c r="F33" i="121" s="1"/>
  <c r="B50" i="141"/>
  <c r="E26" i="141" s="1"/>
  <c r="B50" i="159"/>
  <c r="E26" i="159" s="1"/>
  <c r="P25" i="115"/>
  <c r="P24" i="115"/>
  <c r="B27" i="115" s="1"/>
  <c r="O24" i="115"/>
  <c r="F32" i="115" s="1"/>
  <c r="B50" i="115"/>
  <c r="F33" i="115" s="1"/>
  <c r="O25" i="114"/>
  <c r="O24" i="114"/>
  <c r="F32" i="114" s="1"/>
  <c r="J32" i="114" s="1"/>
  <c r="B50" i="114"/>
  <c r="O24" i="113"/>
  <c r="F32" i="113" s="1"/>
  <c r="O25" i="113"/>
  <c r="F33" i="113"/>
  <c r="P24" i="112"/>
  <c r="B27" i="112" s="1"/>
  <c r="O25" i="112"/>
  <c r="O24" i="112"/>
  <c r="F32" i="112" s="1"/>
  <c r="B50" i="112"/>
  <c r="F33" i="112" s="1"/>
  <c r="O25" i="111"/>
  <c r="O24" i="111"/>
  <c r="F32" i="111" s="1"/>
  <c r="K48" i="111" s="1"/>
  <c r="K50" i="111" s="1"/>
  <c r="B50" i="111"/>
  <c r="K48" i="161"/>
  <c r="F33" i="161"/>
  <c r="K48" i="159"/>
  <c r="B26" i="159"/>
  <c r="K48" i="158"/>
  <c r="B26" i="158"/>
  <c r="F33" i="156"/>
  <c r="B26" i="156"/>
  <c r="K48" i="155"/>
  <c r="K48" i="154"/>
  <c r="J32" i="154"/>
  <c r="B26" i="154"/>
  <c r="K48" i="153"/>
  <c r="B26" i="153"/>
  <c r="K48" i="151"/>
  <c r="F33" i="151"/>
  <c r="N33" i="151" s="1"/>
  <c r="B26" i="151"/>
  <c r="K48" i="150"/>
  <c r="B26" i="150"/>
  <c r="E26" i="149"/>
  <c r="K48" i="147"/>
  <c r="K48" i="146"/>
  <c r="E26" i="146"/>
  <c r="B26" i="146"/>
  <c r="K48" i="145"/>
  <c r="B26" i="145"/>
  <c r="K48" i="144"/>
  <c r="F33" i="144"/>
  <c r="B26" i="144"/>
  <c r="B26" i="143"/>
  <c r="K48" i="141"/>
  <c r="F33" i="141"/>
  <c r="E26" i="140"/>
  <c r="K48" i="139"/>
  <c r="E26" i="139"/>
  <c r="B26" i="139"/>
  <c r="K48" i="138"/>
  <c r="K48" i="137"/>
  <c r="F33" i="137"/>
  <c r="B26" i="137"/>
  <c r="B26" i="135"/>
  <c r="K48" i="134"/>
  <c r="J51" i="134" s="1"/>
  <c r="B26" i="134"/>
  <c r="K48" i="133"/>
  <c r="E26" i="132"/>
  <c r="B26" i="132"/>
  <c r="K48" i="131"/>
  <c r="B26" i="131"/>
  <c r="E26" i="130"/>
  <c r="B26" i="130"/>
  <c r="K48" i="129"/>
  <c r="E26" i="129"/>
  <c r="K48" i="128"/>
  <c r="B26" i="128"/>
  <c r="B26" i="127"/>
  <c r="F33" i="125"/>
  <c r="E26" i="125"/>
  <c r="K48" i="122"/>
  <c r="E26" i="122"/>
  <c r="B26" i="122"/>
  <c r="K48" i="121"/>
  <c r="B26" i="121"/>
  <c r="K48" i="120"/>
  <c r="K48" i="119"/>
  <c r="J32" i="118"/>
  <c r="E26" i="118"/>
  <c r="K48" i="116"/>
  <c r="F33" i="114"/>
  <c r="J33" i="114" s="1"/>
  <c r="E26" i="114"/>
  <c r="E26" i="113"/>
  <c r="K48" i="112"/>
  <c r="E26" i="112"/>
  <c r="B26" i="112"/>
  <c r="F33" i="111"/>
  <c r="E26" i="111"/>
  <c r="B26" i="111"/>
  <c r="AP36" i="57"/>
  <c r="AQ36" i="57"/>
  <c r="AR36" i="57"/>
  <c r="AS36" i="57"/>
  <c r="AT36" i="57"/>
  <c r="AU36" i="57"/>
  <c r="AV36" i="57"/>
  <c r="AX36" i="57"/>
  <c r="AY36" i="57"/>
  <c r="AZ36" i="57"/>
  <c r="BA36" i="57"/>
  <c r="C36" i="57"/>
  <c r="D36" i="57"/>
  <c r="E36" i="57"/>
  <c r="F36" i="57"/>
  <c r="G36" i="57"/>
  <c r="I36" i="57"/>
  <c r="J36" i="57"/>
  <c r="K36" i="57"/>
  <c r="Q36" i="57"/>
  <c r="S36" i="57"/>
  <c r="W36" i="57"/>
  <c r="AA36" i="57"/>
  <c r="AB36" i="57"/>
  <c r="AC36" i="57"/>
  <c r="AE36" i="57"/>
  <c r="AF36" i="57"/>
  <c r="AG36" i="57"/>
  <c r="AH36" i="57"/>
  <c r="AI36" i="57"/>
  <c r="AK36" i="57"/>
  <c r="AM36" i="57"/>
  <c r="AN36" i="57"/>
  <c r="AO36" i="57"/>
  <c r="N32" i="161" l="1"/>
  <c r="J32" i="161"/>
  <c r="N33" i="161"/>
  <c r="J33" i="161"/>
  <c r="K48" i="160"/>
  <c r="J50" i="160" s="1"/>
  <c r="K50" i="160" s="1"/>
  <c r="N32" i="160"/>
  <c r="J32" i="160"/>
  <c r="N36" i="160"/>
  <c r="B26" i="160"/>
  <c r="E26" i="158"/>
  <c r="AW36" i="57"/>
  <c r="N33" i="157"/>
  <c r="J33" i="157"/>
  <c r="B26" i="157"/>
  <c r="N32" i="157"/>
  <c r="J32" i="157"/>
  <c r="E26" i="157"/>
  <c r="N33" i="156"/>
  <c r="J33" i="156"/>
  <c r="J32" i="156"/>
  <c r="J36" i="156" s="1"/>
  <c r="N32" i="156"/>
  <c r="B26" i="155"/>
  <c r="E26" i="154"/>
  <c r="N33" i="153"/>
  <c r="N36" i="153" s="1"/>
  <c r="J33" i="153"/>
  <c r="J36" i="153" s="1"/>
  <c r="B26" i="152"/>
  <c r="J33" i="152"/>
  <c r="N33" i="152" s="1"/>
  <c r="Q33" i="152" s="1"/>
  <c r="K48" i="152"/>
  <c r="J51" i="152" s="1"/>
  <c r="K51" i="152" s="1"/>
  <c r="Q33" i="150"/>
  <c r="Q36" i="150" s="1"/>
  <c r="J33" i="150"/>
  <c r="N33" i="150" s="1"/>
  <c r="B26" i="149"/>
  <c r="J32" i="149"/>
  <c r="N32" i="149" s="1"/>
  <c r="R33" i="149"/>
  <c r="R50" i="149"/>
  <c r="B26" i="148"/>
  <c r="K48" i="148"/>
  <c r="J51" i="148" s="1"/>
  <c r="K51" i="148" s="1"/>
  <c r="E26" i="153"/>
  <c r="E26" i="115"/>
  <c r="E26" i="119"/>
  <c r="E26" i="148"/>
  <c r="E26" i="150"/>
  <c r="E26" i="160"/>
  <c r="J32" i="124"/>
  <c r="J32" i="125" s="1"/>
  <c r="F33" i="123"/>
  <c r="F40" i="123" s="1"/>
  <c r="E26" i="131"/>
  <c r="E26" i="134"/>
  <c r="E26" i="135"/>
  <c r="J32" i="132"/>
  <c r="J32" i="133" s="1"/>
  <c r="J32" i="134" s="1"/>
  <c r="J32" i="135" s="1"/>
  <c r="E26" i="120"/>
  <c r="B26" i="124"/>
  <c r="B26" i="133"/>
  <c r="B26" i="138"/>
  <c r="J32" i="147"/>
  <c r="B26" i="147"/>
  <c r="B26" i="120"/>
  <c r="B26" i="123"/>
  <c r="K48" i="124"/>
  <c r="J51" i="124" s="1"/>
  <c r="K51" i="124" s="1"/>
  <c r="F33" i="127"/>
  <c r="F35" i="127" s="1"/>
  <c r="B26" i="141"/>
  <c r="F33" i="147"/>
  <c r="F36" i="147" s="1"/>
  <c r="E26" i="152"/>
  <c r="F33" i="159"/>
  <c r="B26" i="161"/>
  <c r="F39" i="123"/>
  <c r="F42" i="123" s="1"/>
  <c r="J32" i="141"/>
  <c r="J32" i="142" s="1"/>
  <c r="J32" i="143" s="1"/>
  <c r="J32" i="144" s="1"/>
  <c r="E26" i="116"/>
  <c r="F33" i="136"/>
  <c r="F41" i="136" s="1"/>
  <c r="F41" i="124"/>
  <c r="F33" i="155"/>
  <c r="N32" i="124"/>
  <c r="N32" i="125" s="1"/>
  <c r="N45" i="126" s="1"/>
  <c r="N32" i="127" s="1"/>
  <c r="J33" i="140"/>
  <c r="J33" i="141"/>
  <c r="T36" i="57"/>
  <c r="E26" i="142"/>
  <c r="E27" i="142"/>
  <c r="K48" i="142"/>
  <c r="K50" i="142" s="1"/>
  <c r="B26" i="142"/>
  <c r="F33" i="142"/>
  <c r="K48" i="114"/>
  <c r="J51" i="114" s="1"/>
  <c r="K51" i="114" s="1"/>
  <c r="F33" i="117"/>
  <c r="F36" i="117" s="1"/>
  <c r="B26" i="119"/>
  <c r="F33" i="119"/>
  <c r="F35" i="119" s="1"/>
  <c r="E26" i="121"/>
  <c r="K48" i="123"/>
  <c r="J51" i="123" s="1"/>
  <c r="K51" i="123" s="1"/>
  <c r="F33" i="128"/>
  <c r="F35" i="128" s="1"/>
  <c r="B26" i="129"/>
  <c r="F33" i="143"/>
  <c r="F35" i="143" s="1"/>
  <c r="K48" i="140"/>
  <c r="K50" i="140" s="1"/>
  <c r="J32" i="140"/>
  <c r="B26" i="140"/>
  <c r="E26" i="138"/>
  <c r="J33" i="136"/>
  <c r="K48" i="136"/>
  <c r="F40" i="136"/>
  <c r="J32" i="136"/>
  <c r="J32" i="137" s="1"/>
  <c r="J32" i="138" s="1"/>
  <c r="J32" i="139" s="1"/>
  <c r="B26" i="136"/>
  <c r="E26" i="133"/>
  <c r="J33" i="131"/>
  <c r="J33" i="132" s="1"/>
  <c r="J33" i="133" s="1"/>
  <c r="J36" i="133" s="1"/>
  <c r="R26" i="128"/>
  <c r="J45" i="126"/>
  <c r="J32" i="127" s="1"/>
  <c r="J32" i="128" s="1"/>
  <c r="F52" i="126"/>
  <c r="F46" i="126"/>
  <c r="F53" i="126" s="1"/>
  <c r="K66" i="126"/>
  <c r="K68" i="126" s="1"/>
  <c r="B39" i="126"/>
  <c r="F42" i="124"/>
  <c r="N42" i="116"/>
  <c r="O51" i="116" s="1"/>
  <c r="B26" i="125"/>
  <c r="F41" i="123"/>
  <c r="E26" i="124"/>
  <c r="F39" i="122"/>
  <c r="F41" i="122" s="1"/>
  <c r="F39" i="121"/>
  <c r="F40" i="121" s="1"/>
  <c r="F41" i="120"/>
  <c r="F40" i="120"/>
  <c r="B26" i="118"/>
  <c r="K48" i="118"/>
  <c r="J51" i="118" s="1"/>
  <c r="K51" i="118" s="1"/>
  <c r="J32" i="119"/>
  <c r="J32" i="120" s="1"/>
  <c r="J32" i="121" s="1"/>
  <c r="J32" i="122" s="1"/>
  <c r="J33" i="118"/>
  <c r="J36" i="118" s="1"/>
  <c r="B26" i="117"/>
  <c r="K48" i="117"/>
  <c r="J51" i="117" s="1"/>
  <c r="K51" i="117" s="1"/>
  <c r="B26" i="116"/>
  <c r="N43" i="116"/>
  <c r="K48" i="115"/>
  <c r="K50" i="115" s="1"/>
  <c r="J32" i="115"/>
  <c r="J32" i="116" s="1"/>
  <c r="B26" i="115"/>
  <c r="J33" i="115"/>
  <c r="J33" i="116" s="1"/>
  <c r="B26" i="114"/>
  <c r="B26" i="113"/>
  <c r="K48" i="113"/>
  <c r="J51" i="113" s="1"/>
  <c r="K51" i="113" s="1"/>
  <c r="N36" i="161"/>
  <c r="J36" i="161"/>
  <c r="J51" i="161"/>
  <c r="K51" i="161" s="1"/>
  <c r="K50" i="161"/>
  <c r="F35" i="161"/>
  <c r="F36" i="161"/>
  <c r="J51" i="160"/>
  <c r="K51" i="160" s="1"/>
  <c r="F35" i="160"/>
  <c r="F36" i="160"/>
  <c r="J51" i="159"/>
  <c r="K51" i="159" s="1"/>
  <c r="K50" i="159"/>
  <c r="N36" i="158"/>
  <c r="J36" i="158"/>
  <c r="J51" i="158"/>
  <c r="K51" i="158" s="1"/>
  <c r="K50" i="158"/>
  <c r="F35" i="158"/>
  <c r="F36" i="158"/>
  <c r="N36" i="157"/>
  <c r="J51" i="157"/>
  <c r="K51" i="157" s="1"/>
  <c r="K50" i="157"/>
  <c r="F35" i="157"/>
  <c r="F36" i="157"/>
  <c r="J51" i="156"/>
  <c r="K51" i="156" s="1"/>
  <c r="K50" i="156"/>
  <c r="F35" i="156"/>
  <c r="F36" i="156"/>
  <c r="N36" i="155"/>
  <c r="J51" i="155"/>
  <c r="K51" i="155" s="1"/>
  <c r="K50" i="155"/>
  <c r="N36" i="154"/>
  <c r="J36" i="154"/>
  <c r="J51" i="154"/>
  <c r="K51" i="154" s="1"/>
  <c r="K50" i="154"/>
  <c r="F35" i="154"/>
  <c r="J35" i="154" s="1"/>
  <c r="F36" i="154"/>
  <c r="J51" i="153"/>
  <c r="K51" i="153" s="1"/>
  <c r="K50" i="153"/>
  <c r="F35" i="153"/>
  <c r="F36" i="153"/>
  <c r="N32" i="152"/>
  <c r="F35" i="152"/>
  <c r="F36" i="152"/>
  <c r="N32" i="151"/>
  <c r="N36" i="151" s="1"/>
  <c r="J36" i="151"/>
  <c r="J51" i="151"/>
  <c r="K51" i="151" s="1"/>
  <c r="K50" i="151"/>
  <c r="F35" i="151"/>
  <c r="N35" i="151" s="1"/>
  <c r="F36" i="151"/>
  <c r="N32" i="150"/>
  <c r="J36" i="150"/>
  <c r="J51" i="150"/>
  <c r="K51" i="150" s="1"/>
  <c r="K50" i="150"/>
  <c r="F35" i="150"/>
  <c r="F36" i="150"/>
  <c r="J51" i="149"/>
  <c r="K51" i="149" s="1"/>
  <c r="K50" i="149"/>
  <c r="F35" i="149"/>
  <c r="J35" i="149" s="1"/>
  <c r="N35" i="149" s="1"/>
  <c r="F36" i="149"/>
  <c r="N36" i="148"/>
  <c r="J36" i="148"/>
  <c r="F35" i="148"/>
  <c r="F36" i="148"/>
  <c r="J51" i="147"/>
  <c r="K51" i="147" s="1"/>
  <c r="K50" i="147"/>
  <c r="J36" i="146"/>
  <c r="J51" i="146"/>
  <c r="K51" i="146" s="1"/>
  <c r="K50" i="146"/>
  <c r="F35" i="146"/>
  <c r="F36" i="146"/>
  <c r="J36" i="145"/>
  <c r="J51" i="145"/>
  <c r="K51" i="145" s="1"/>
  <c r="K50" i="145"/>
  <c r="F35" i="145"/>
  <c r="F36" i="145"/>
  <c r="J51" i="144"/>
  <c r="K51" i="144" s="1"/>
  <c r="K50" i="144"/>
  <c r="F35" i="144"/>
  <c r="F36" i="144"/>
  <c r="J51" i="143"/>
  <c r="K51" i="143" s="1"/>
  <c r="K50" i="143"/>
  <c r="J51" i="141"/>
  <c r="K51" i="141" s="1"/>
  <c r="K50" i="141"/>
  <c r="F35" i="141"/>
  <c r="F36" i="141"/>
  <c r="F35" i="140"/>
  <c r="F36" i="140"/>
  <c r="J51" i="139"/>
  <c r="K51" i="139" s="1"/>
  <c r="K50" i="139"/>
  <c r="F35" i="139"/>
  <c r="F36" i="139"/>
  <c r="J51" i="138"/>
  <c r="K51" i="138" s="1"/>
  <c r="K50" i="138"/>
  <c r="F35" i="138"/>
  <c r="F36" i="138"/>
  <c r="J51" i="137"/>
  <c r="K51" i="137" s="1"/>
  <c r="K50" i="137"/>
  <c r="F35" i="137"/>
  <c r="F36" i="137"/>
  <c r="J51" i="136"/>
  <c r="K51" i="136" s="1"/>
  <c r="K50" i="136"/>
  <c r="F35" i="136"/>
  <c r="F36" i="136"/>
  <c r="J51" i="135"/>
  <c r="K51" i="135" s="1"/>
  <c r="K50" i="135"/>
  <c r="F35" i="135"/>
  <c r="F36" i="135"/>
  <c r="K51" i="134"/>
  <c r="K50" i="134"/>
  <c r="F35" i="134"/>
  <c r="F36" i="134"/>
  <c r="J51" i="133"/>
  <c r="K51" i="133" s="1"/>
  <c r="K50" i="133"/>
  <c r="F35" i="133"/>
  <c r="F36" i="133"/>
  <c r="J36" i="132"/>
  <c r="J51" i="132"/>
  <c r="K51" i="132" s="1"/>
  <c r="K50" i="132"/>
  <c r="F35" i="132"/>
  <c r="F36" i="132"/>
  <c r="J51" i="131"/>
  <c r="K51" i="131" s="1"/>
  <c r="K50" i="131"/>
  <c r="F35" i="131"/>
  <c r="F36" i="131"/>
  <c r="J51" i="130"/>
  <c r="K51" i="130" s="1"/>
  <c r="K50" i="130"/>
  <c r="F35" i="130"/>
  <c r="F36" i="130"/>
  <c r="J51" i="129"/>
  <c r="K51" i="129" s="1"/>
  <c r="K50" i="129"/>
  <c r="F35" i="129"/>
  <c r="F36" i="129"/>
  <c r="J51" i="128"/>
  <c r="K51" i="128" s="1"/>
  <c r="K50" i="128"/>
  <c r="F36" i="128"/>
  <c r="J51" i="127"/>
  <c r="K51" i="127" s="1"/>
  <c r="K50" i="127"/>
  <c r="J51" i="125"/>
  <c r="K51" i="125" s="1"/>
  <c r="F35" i="125"/>
  <c r="F36" i="125"/>
  <c r="K50" i="124"/>
  <c r="F35" i="124"/>
  <c r="J35" i="124" s="1"/>
  <c r="F36" i="124"/>
  <c r="F35" i="123"/>
  <c r="J35" i="123" s="1"/>
  <c r="N35" i="123" s="1"/>
  <c r="J51" i="122"/>
  <c r="K51" i="122" s="1"/>
  <c r="K50" i="122"/>
  <c r="F35" i="122"/>
  <c r="F36" i="122"/>
  <c r="J51" i="121"/>
  <c r="K51" i="121" s="1"/>
  <c r="K50" i="121"/>
  <c r="F35" i="121"/>
  <c r="F36" i="121"/>
  <c r="J51" i="120"/>
  <c r="K51" i="120" s="1"/>
  <c r="K50" i="120"/>
  <c r="F35" i="120"/>
  <c r="F36" i="120"/>
  <c r="J51" i="119"/>
  <c r="K51" i="119" s="1"/>
  <c r="K50" i="119"/>
  <c r="F36" i="119"/>
  <c r="F35" i="118"/>
  <c r="F36" i="118"/>
  <c r="J51" i="116"/>
  <c r="K51" i="116" s="1"/>
  <c r="K50" i="116"/>
  <c r="F35" i="116"/>
  <c r="F36" i="116"/>
  <c r="J36" i="115"/>
  <c r="F35" i="115"/>
  <c r="F36" i="115"/>
  <c r="J36" i="114"/>
  <c r="F35" i="114"/>
  <c r="J35" i="114" s="1"/>
  <c r="F36" i="114"/>
  <c r="F35" i="113"/>
  <c r="F36" i="113"/>
  <c r="J51" i="112"/>
  <c r="K51" i="112" s="1"/>
  <c r="K50" i="112"/>
  <c r="F35" i="112"/>
  <c r="F36" i="112"/>
  <c r="F35" i="111"/>
  <c r="F36" i="111"/>
  <c r="J51" i="111"/>
  <c r="K51" i="111" s="1"/>
  <c r="BC19" i="57"/>
  <c r="A3" i="57"/>
  <c r="BC3" i="57" s="1"/>
  <c r="A4" i="57"/>
  <c r="BC4" i="57" s="1"/>
  <c r="A5" i="57"/>
  <c r="BC5" i="57" s="1"/>
  <c r="A6" i="57"/>
  <c r="BC6" i="57" s="1"/>
  <c r="A7" i="57"/>
  <c r="BC7" i="57" s="1"/>
  <c r="A8" i="57"/>
  <c r="BC8" i="57" s="1"/>
  <c r="A9" i="57"/>
  <c r="BC9" i="57" s="1"/>
  <c r="A10" i="57"/>
  <c r="BC10" i="57" s="1"/>
  <c r="A11" i="57"/>
  <c r="BC11" i="57" s="1"/>
  <c r="A12" i="57"/>
  <c r="BC12" i="57" s="1"/>
  <c r="A13" i="57"/>
  <c r="BC13" i="57" s="1"/>
  <c r="A14" i="57"/>
  <c r="BC14" i="57" s="1"/>
  <c r="A15" i="57"/>
  <c r="BC15" i="57" s="1"/>
  <c r="A16" i="57"/>
  <c r="BC16" i="57" s="1"/>
  <c r="A18" i="57"/>
  <c r="BC18" i="57" s="1"/>
  <c r="A20" i="57"/>
  <c r="BC20" i="57" s="1"/>
  <c r="A21" i="57"/>
  <c r="BC21" i="57" s="1"/>
  <c r="A2" i="57"/>
  <c r="BC2" i="57" s="1"/>
  <c r="J35" i="161" l="1"/>
  <c r="N35" i="161"/>
  <c r="J35" i="160"/>
  <c r="N35" i="160"/>
  <c r="J36" i="160"/>
  <c r="J36" i="157"/>
  <c r="N35" i="157"/>
  <c r="J35" i="157"/>
  <c r="N36" i="156"/>
  <c r="N35" i="156"/>
  <c r="J35" i="156"/>
  <c r="F35" i="155"/>
  <c r="N35" i="153"/>
  <c r="J35" i="153"/>
  <c r="J36" i="152"/>
  <c r="K50" i="152"/>
  <c r="J35" i="152"/>
  <c r="N35" i="152" s="1"/>
  <c r="Q35" i="152" s="1"/>
  <c r="S39" i="152" s="1"/>
  <c r="S41" i="152" s="1"/>
  <c r="N36" i="152"/>
  <c r="Q36" i="152" s="1"/>
  <c r="Q32" i="152"/>
  <c r="Q35" i="150"/>
  <c r="J35" i="150"/>
  <c r="N35" i="150" s="1"/>
  <c r="N55" i="150" s="1"/>
  <c r="N58" i="150" s="1"/>
  <c r="O58" i="150" s="1"/>
  <c r="N36" i="150"/>
  <c r="J36" i="149"/>
  <c r="N36" i="149"/>
  <c r="Q32" i="149"/>
  <c r="Q35" i="149"/>
  <c r="R35" i="149" s="1"/>
  <c r="R41" i="149" s="1"/>
  <c r="R42" i="149" s="1"/>
  <c r="K50" i="148"/>
  <c r="J35" i="148"/>
  <c r="N56" i="148"/>
  <c r="F35" i="117"/>
  <c r="J33" i="117"/>
  <c r="J36" i="141"/>
  <c r="N32" i="136"/>
  <c r="N32" i="137" s="1"/>
  <c r="J51" i="142"/>
  <c r="K51" i="142" s="1"/>
  <c r="J33" i="123"/>
  <c r="J33" i="124" s="1"/>
  <c r="K50" i="123"/>
  <c r="F48" i="126"/>
  <c r="J36" i="136"/>
  <c r="J51" i="115"/>
  <c r="K51" i="115" s="1"/>
  <c r="F36" i="123"/>
  <c r="J36" i="131"/>
  <c r="F36" i="155"/>
  <c r="J36" i="155"/>
  <c r="N33" i="123"/>
  <c r="N33" i="124" s="1"/>
  <c r="F35" i="147"/>
  <c r="J35" i="147" s="1"/>
  <c r="J33" i="147"/>
  <c r="J36" i="147" s="1"/>
  <c r="K50" i="114"/>
  <c r="F36" i="127"/>
  <c r="J35" i="141"/>
  <c r="F36" i="159"/>
  <c r="J36" i="159"/>
  <c r="F35" i="159"/>
  <c r="N36" i="159"/>
  <c r="J35" i="145"/>
  <c r="J35" i="146" s="1"/>
  <c r="J36" i="123"/>
  <c r="J51" i="140"/>
  <c r="K51" i="140" s="1"/>
  <c r="F41" i="121"/>
  <c r="F40" i="122"/>
  <c r="N33" i="136"/>
  <c r="N33" i="137" s="1"/>
  <c r="N33" i="138" s="1"/>
  <c r="N33" i="139" s="1"/>
  <c r="N33" i="140" s="1"/>
  <c r="N33" i="141" s="1"/>
  <c r="N33" i="142" s="1"/>
  <c r="N33" i="143" s="1"/>
  <c r="N33" i="144" s="1"/>
  <c r="N33" i="145" s="1"/>
  <c r="N33" i="146" s="1"/>
  <c r="N33" i="147" s="1"/>
  <c r="J33" i="137"/>
  <c r="J36" i="140"/>
  <c r="F36" i="142"/>
  <c r="F36" i="143"/>
  <c r="J33" i="142"/>
  <c r="J36" i="142" s="1"/>
  <c r="F35" i="142"/>
  <c r="K50" i="118"/>
  <c r="J35" i="140"/>
  <c r="J32" i="129"/>
  <c r="J33" i="134"/>
  <c r="K50" i="117"/>
  <c r="N36" i="123"/>
  <c r="F49" i="126"/>
  <c r="F44" i="136"/>
  <c r="F43" i="136"/>
  <c r="J35" i="136"/>
  <c r="N32" i="128"/>
  <c r="N32" i="129" s="1"/>
  <c r="J35" i="131"/>
  <c r="J35" i="132" s="1"/>
  <c r="J35" i="133" s="1"/>
  <c r="J35" i="134" s="1"/>
  <c r="J35" i="135" s="1"/>
  <c r="F55" i="126"/>
  <c r="F54" i="126"/>
  <c r="J69" i="126"/>
  <c r="K69" i="126" s="1"/>
  <c r="J32" i="117"/>
  <c r="J36" i="117" s="1"/>
  <c r="J36" i="116"/>
  <c r="J36" i="124"/>
  <c r="J33" i="125"/>
  <c r="N35" i="124"/>
  <c r="N36" i="124"/>
  <c r="N33" i="125"/>
  <c r="J36" i="119"/>
  <c r="J33" i="119"/>
  <c r="J33" i="120" s="1"/>
  <c r="J35" i="118"/>
  <c r="J35" i="119" s="1"/>
  <c r="J35" i="120" s="1"/>
  <c r="N46" i="116"/>
  <c r="O52" i="116"/>
  <c r="N45" i="116"/>
  <c r="O54" i="116" s="1"/>
  <c r="J35" i="115"/>
  <c r="J35" i="116" s="1"/>
  <c r="J35" i="117" s="1"/>
  <c r="K50" i="113"/>
  <c r="G58" i="1"/>
  <c r="R32" i="149" l="1"/>
  <c r="R49" i="149"/>
  <c r="R51" i="149" s="1"/>
  <c r="R52" i="149" s="1"/>
  <c r="Q36" i="149"/>
  <c r="N35" i="136"/>
  <c r="N35" i="137" s="1"/>
  <c r="N35" i="138" s="1"/>
  <c r="N35" i="139" s="1"/>
  <c r="N35" i="140" s="1"/>
  <c r="N35" i="141" s="1"/>
  <c r="J35" i="137"/>
  <c r="J35" i="138" s="1"/>
  <c r="J35" i="139" s="1"/>
  <c r="N36" i="136"/>
  <c r="J33" i="143"/>
  <c r="J33" i="138"/>
  <c r="J36" i="137"/>
  <c r="J35" i="142"/>
  <c r="J35" i="143" s="1"/>
  <c r="J35" i="144" s="1"/>
  <c r="N35" i="142"/>
  <c r="N35" i="143" s="1"/>
  <c r="N35" i="144" s="1"/>
  <c r="N35" i="145" s="1"/>
  <c r="N35" i="146" s="1"/>
  <c r="N35" i="147" s="1"/>
  <c r="N32" i="138"/>
  <c r="N36" i="137"/>
  <c r="N36" i="125"/>
  <c r="N46" i="126"/>
  <c r="J35" i="125"/>
  <c r="J46" i="126"/>
  <c r="J33" i="135"/>
  <c r="J36" i="135" s="1"/>
  <c r="J36" i="134"/>
  <c r="J32" i="130"/>
  <c r="N32" i="130"/>
  <c r="J36" i="120"/>
  <c r="J33" i="121"/>
  <c r="J33" i="122" s="1"/>
  <c r="J36" i="122" s="1"/>
  <c r="N35" i="125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4" i="1"/>
  <c r="O5" i="1"/>
  <c r="B3" i="57" s="1"/>
  <c r="C4" i="162" s="1"/>
  <c r="D4" i="162" s="1"/>
  <c r="O6" i="1"/>
  <c r="B4" i="57" s="1"/>
  <c r="C5" i="162" s="1"/>
  <c r="D5" i="162" s="1"/>
  <c r="O7" i="1"/>
  <c r="B5" i="57" s="1"/>
  <c r="C6" i="162" s="1"/>
  <c r="D6" i="162" s="1"/>
  <c r="O8" i="1"/>
  <c r="B6" i="57" s="1"/>
  <c r="C7" i="162" s="1"/>
  <c r="D7" i="162" s="1"/>
  <c r="O9" i="1"/>
  <c r="B7" i="57" s="1"/>
  <c r="C8" i="162" s="1"/>
  <c r="D8" i="162" s="1"/>
  <c r="O10" i="1"/>
  <c r="B8" i="57" s="1"/>
  <c r="C9" i="162" s="1"/>
  <c r="D9" i="162" s="1"/>
  <c r="O11" i="1"/>
  <c r="B9" i="57" s="1"/>
  <c r="C10" i="162" s="1"/>
  <c r="D10" i="162" s="1"/>
  <c r="O12" i="1"/>
  <c r="B10" i="57" s="1"/>
  <c r="C11" i="162" s="1"/>
  <c r="D11" i="162" s="1"/>
  <c r="O13" i="1"/>
  <c r="B11" i="57" s="1"/>
  <c r="O14" i="1"/>
  <c r="B12" i="57" s="1"/>
  <c r="C13" i="162" s="1"/>
  <c r="D13" i="162" s="1"/>
  <c r="O15" i="1"/>
  <c r="B13" i="57" s="1"/>
  <c r="C14" i="162" s="1"/>
  <c r="D14" i="162" s="1"/>
  <c r="O16" i="1"/>
  <c r="B14" i="57" s="1"/>
  <c r="C15" i="162" s="1"/>
  <c r="D15" i="162" s="1"/>
  <c r="O17" i="1"/>
  <c r="B15" i="57" s="1"/>
  <c r="C16" i="162" s="1"/>
  <c r="D16" i="162" s="1"/>
  <c r="O18" i="1"/>
  <c r="B16" i="57" s="1"/>
  <c r="C17" i="162" s="1"/>
  <c r="D17" i="162" s="1"/>
  <c r="O19" i="1"/>
  <c r="B17" i="57" s="1"/>
  <c r="C18" i="162" s="1"/>
  <c r="O20" i="1"/>
  <c r="B18" i="57" s="1"/>
  <c r="C19" i="162" s="1"/>
  <c r="O21" i="1"/>
  <c r="B19" i="57" s="1"/>
  <c r="C20" i="162" s="1"/>
  <c r="O22" i="1"/>
  <c r="B20" i="57" s="1"/>
  <c r="C21" i="162" s="1"/>
  <c r="O23" i="1"/>
  <c r="B21" i="57" s="1"/>
  <c r="C22" i="162" s="1"/>
  <c r="D22" i="162" s="1"/>
  <c r="O4" i="1"/>
  <c r="B2" i="57" s="1"/>
  <c r="J36" i="143" l="1"/>
  <c r="J33" i="144"/>
  <c r="J36" i="144" s="1"/>
  <c r="J35" i="121"/>
  <c r="J35" i="122" s="1"/>
  <c r="J33" i="139"/>
  <c r="J36" i="139" s="1"/>
  <c r="J36" i="138"/>
  <c r="N32" i="139"/>
  <c r="N36" i="138"/>
  <c r="J48" i="126"/>
  <c r="J49" i="126"/>
  <c r="J33" i="127"/>
  <c r="N33" i="127"/>
  <c r="N36" i="127" s="1"/>
  <c r="N49" i="126"/>
  <c r="N32" i="131"/>
  <c r="C3" i="162"/>
  <c r="D3" i="162" s="1"/>
  <c r="J36" i="121"/>
  <c r="B36" i="57"/>
  <c r="BB37" i="57" s="1"/>
  <c r="C12" i="162"/>
  <c r="D12" i="162" s="1"/>
  <c r="B34" i="1"/>
  <c r="B35" i="1"/>
  <c r="B33" i="1"/>
  <c r="N32" i="140" l="1"/>
  <c r="N36" i="139"/>
  <c r="N32" i="132"/>
  <c r="J36" i="127"/>
  <c r="J33" i="128"/>
  <c r="J35" i="127"/>
  <c r="J35" i="128" s="1"/>
  <c r="N35" i="128" s="1"/>
  <c r="N48" i="126"/>
  <c r="N35" i="127" s="1"/>
  <c r="BB36" i="57"/>
  <c r="B28" i="58" s="1"/>
  <c r="B50" i="1"/>
  <c r="C24" i="162"/>
  <c r="F33" i="1"/>
  <c r="J33" i="1" s="1"/>
  <c r="E26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B27" i="1" s="1"/>
  <c r="B24" i="1"/>
  <c r="C6" i="58" l="1"/>
  <c r="BB39" i="57"/>
  <c r="N36" i="140"/>
  <c r="N32" i="141"/>
  <c r="C13" i="58"/>
  <c r="C18" i="58"/>
  <c r="C25" i="58"/>
  <c r="C17" i="58"/>
  <c r="C14" i="58"/>
  <c r="C10" i="58"/>
  <c r="C5" i="58"/>
  <c r="C16" i="58"/>
  <c r="C20" i="58"/>
  <c r="C19" i="58"/>
  <c r="C24" i="58"/>
  <c r="C2" i="58"/>
  <c r="C3" i="58"/>
  <c r="C9" i="58"/>
  <c r="C23" i="58"/>
  <c r="C4" i="58"/>
  <c r="C7" i="58"/>
  <c r="C8" i="58"/>
  <c r="C15" i="58"/>
  <c r="C21" i="58"/>
  <c r="C11" i="58"/>
  <c r="C12" i="58"/>
  <c r="N33" i="128"/>
  <c r="J33" i="129"/>
  <c r="J36" i="128"/>
  <c r="N32" i="133"/>
  <c r="N33" i="1"/>
  <c r="N33" i="111" s="1"/>
  <c r="J33" i="111"/>
  <c r="J33" i="112" s="1"/>
  <c r="H10" i="58"/>
  <c r="I10" i="58" s="1"/>
  <c r="D24" i="162"/>
  <c r="C27" i="162"/>
  <c r="I7" i="162" s="1"/>
  <c r="I9" i="162" s="1"/>
  <c r="F32" i="1"/>
  <c r="B26" i="1"/>
  <c r="O25" i="1"/>
  <c r="P25" i="1"/>
  <c r="N32" i="142" l="1"/>
  <c r="N36" i="141"/>
  <c r="N32" i="134"/>
  <c r="N32" i="135" s="1"/>
  <c r="J33" i="130"/>
  <c r="J36" i="130" s="1"/>
  <c r="J35" i="129"/>
  <c r="J35" i="130" s="1"/>
  <c r="J36" i="129"/>
  <c r="N33" i="129"/>
  <c r="N36" i="128"/>
  <c r="J33" i="113"/>
  <c r="N33" i="112"/>
  <c r="N33" i="113" s="1"/>
  <c r="N33" i="114" s="1"/>
  <c r="N33" i="115" s="1"/>
  <c r="N33" i="116" s="1"/>
  <c r="N33" i="117" s="1"/>
  <c r="N33" i="118" s="1"/>
  <c r="N33" i="119" s="1"/>
  <c r="N33" i="120" s="1"/>
  <c r="N33" i="121" s="1"/>
  <c r="N33" i="122" s="1"/>
  <c r="F35" i="1"/>
  <c r="J35" i="1" s="1"/>
  <c r="J32" i="1"/>
  <c r="J32" i="111" s="1"/>
  <c r="F36" i="1"/>
  <c r="K48" i="1"/>
  <c r="K50" i="1" s="1"/>
  <c r="N32" i="143" l="1"/>
  <c r="N36" i="142"/>
  <c r="N33" i="130"/>
  <c r="N35" i="129"/>
  <c r="N35" i="130" s="1"/>
  <c r="N35" i="131" s="1"/>
  <c r="N35" i="132" s="1"/>
  <c r="N35" i="133" s="1"/>
  <c r="N35" i="134" s="1"/>
  <c r="N35" i="135" s="1"/>
  <c r="N36" i="129"/>
  <c r="J32" i="112"/>
  <c r="J36" i="111"/>
  <c r="N35" i="1"/>
  <c r="N35" i="111" s="1"/>
  <c r="J35" i="111"/>
  <c r="J35" i="112" s="1"/>
  <c r="N32" i="1"/>
  <c r="J36" i="1"/>
  <c r="J51" i="1"/>
  <c r="K51" i="1" s="1"/>
  <c r="N36" i="143" l="1"/>
  <c r="N32" i="144"/>
  <c r="N33" i="131"/>
  <c r="N36" i="130"/>
  <c r="N35" i="112"/>
  <c r="N35" i="113" s="1"/>
  <c r="N35" i="114" s="1"/>
  <c r="N35" i="115" s="1"/>
  <c r="N35" i="116" s="1"/>
  <c r="N35" i="117" s="1"/>
  <c r="J35" i="113"/>
  <c r="N36" i="1"/>
  <c r="N32" i="111"/>
  <c r="N36" i="111" s="1"/>
  <c r="J32" i="113"/>
  <c r="J36" i="113" s="1"/>
  <c r="J36" i="112"/>
  <c r="N32" i="112"/>
  <c r="N32" i="145" l="1"/>
  <c r="N36" i="144"/>
  <c r="N33" i="132"/>
  <c r="N36" i="131"/>
  <c r="N36" i="112"/>
  <c r="N32" i="113"/>
  <c r="N42" i="117"/>
  <c r="N45" i="117" s="1"/>
  <c r="N35" i="118"/>
  <c r="N32" i="146" l="1"/>
  <c r="N36" i="145"/>
  <c r="N33" i="133"/>
  <c r="N36" i="132"/>
  <c r="N42" i="118"/>
  <c r="N45" i="118" s="1"/>
  <c r="N35" i="119"/>
  <c r="N32" i="114"/>
  <c r="N36" i="113"/>
  <c r="N32" i="147" l="1"/>
  <c r="N36" i="147" s="1"/>
  <c r="N36" i="146"/>
  <c r="N33" i="134"/>
  <c r="N36" i="133"/>
  <c r="N39" i="119"/>
  <c r="N42" i="119" s="1"/>
  <c r="N35" i="120"/>
  <c r="N32" i="115"/>
  <c r="N36" i="114"/>
  <c r="N36" i="134" l="1"/>
  <c r="N33" i="135"/>
  <c r="N36" i="135" s="1"/>
  <c r="N35" i="121"/>
  <c r="N39" i="120"/>
  <c r="N42" i="120" s="1"/>
  <c r="N36" i="115"/>
  <c r="N32" i="116"/>
  <c r="N32" i="117" l="1"/>
  <c r="N36" i="116"/>
  <c r="N35" i="122"/>
  <c r="N39" i="121"/>
  <c r="N42" i="121" s="1"/>
  <c r="N39" i="122" l="1"/>
  <c r="N55" i="130"/>
  <c r="N42" i="122"/>
  <c r="N54" i="123"/>
  <c r="N32" i="118"/>
  <c r="N36" i="117"/>
  <c r="N57" i="129" l="1"/>
  <c r="N60" i="129" s="1"/>
  <c r="N57" i="128"/>
  <c r="N60" i="128" s="1"/>
  <c r="N56" i="131"/>
  <c r="N58" i="130"/>
  <c r="O58" i="130" s="1"/>
  <c r="N55" i="125"/>
  <c r="N58" i="125" s="1"/>
  <c r="N55" i="124"/>
  <c r="N58" i="124" s="1"/>
  <c r="N57" i="123"/>
  <c r="N32" i="119"/>
  <c r="N36" i="118"/>
  <c r="N55" i="132" l="1"/>
  <c r="N59" i="131"/>
  <c r="O59" i="131" s="1"/>
  <c r="N32" i="120"/>
  <c r="N36" i="119"/>
  <c r="N58" i="132" l="1"/>
  <c r="O58" i="132" s="1"/>
  <c r="N56" i="134"/>
  <c r="N32" i="121"/>
  <c r="N36" i="120"/>
  <c r="N59" i="134" l="1"/>
  <c r="O59" i="134" s="1"/>
  <c r="N57" i="135"/>
  <c r="N32" i="122"/>
  <c r="N36" i="122" s="1"/>
  <c r="N36" i="121"/>
  <c r="N56" i="138" l="1"/>
  <c r="N59" i="138" s="1"/>
  <c r="O59" i="138" s="1"/>
  <c r="N56" i="143"/>
  <c r="N59" i="149"/>
  <c r="O59" i="149" s="1"/>
  <c r="N56" i="139"/>
  <c r="N59" i="148"/>
  <c r="O59" i="148" s="1"/>
  <c r="N56" i="137"/>
  <c r="N59" i="137" s="1"/>
  <c r="O59" i="137" s="1"/>
  <c r="N60" i="135"/>
  <c r="O60" i="135" s="1"/>
  <c r="N56" i="136"/>
  <c r="N59" i="136" s="1"/>
  <c r="O59" i="136" s="1"/>
  <c r="N59" i="143" l="1"/>
  <c r="O59" i="143" s="1"/>
  <c r="N56" i="144"/>
  <c r="N59" i="139"/>
  <c r="O59" i="139" s="1"/>
  <c r="N56" i="140"/>
  <c r="N56" i="145" l="1"/>
  <c r="N59" i="144"/>
  <c r="O59" i="144" s="1"/>
  <c r="N59" i="140"/>
  <c r="O59" i="140" s="1"/>
  <c r="N56" i="141"/>
  <c r="N56" i="146" l="1"/>
  <c r="N59" i="145"/>
  <c r="O59" i="145" s="1"/>
  <c r="N56" i="142"/>
  <c r="N59" i="142" s="1"/>
  <c r="O59" i="142" s="1"/>
  <c r="N59" i="141"/>
  <c r="O59" i="141" s="1"/>
  <c r="N56" i="147" l="1"/>
  <c r="N59" i="147" s="1"/>
  <c r="O59" i="147" s="1"/>
  <c r="N59" i="146"/>
  <c r="O59" i="146" s="1"/>
</calcChain>
</file>

<file path=xl/sharedStrings.xml><?xml version="1.0" encoding="utf-8"?>
<sst xmlns="http://schemas.openxmlformats.org/spreadsheetml/2006/main" count="5300" uniqueCount="327">
  <si>
    <t>Clients</t>
  </si>
  <si>
    <t>Lundi</t>
  </si>
  <si>
    <t>Mardi</t>
  </si>
  <si>
    <t>Mercredi</t>
  </si>
  <si>
    <t>Jeudi</t>
  </si>
  <si>
    <t>Vendredi</t>
  </si>
  <si>
    <t>Samedi</t>
  </si>
  <si>
    <t>Dimanche</t>
  </si>
  <si>
    <t>Ventes</t>
  </si>
  <si>
    <t>Caisse</t>
  </si>
  <si>
    <t>Bouxthay</t>
  </si>
  <si>
    <t>Coquelicot</t>
  </si>
  <si>
    <t>Dobbelstein</t>
  </si>
  <si>
    <t>Dubuisson</t>
  </si>
  <si>
    <t>Eurofleurs</t>
  </si>
  <si>
    <t>Fraiture</t>
  </si>
  <si>
    <t>Garden Service</t>
  </si>
  <si>
    <t>Grosjean</t>
  </si>
  <si>
    <t>Jardin Perdu</t>
  </si>
  <si>
    <t>Lacroix</t>
  </si>
  <si>
    <t>Leheureux</t>
  </si>
  <si>
    <t>Natur'L</t>
  </si>
  <si>
    <t>Peters</t>
  </si>
  <si>
    <t>Senteurs &amp; F</t>
  </si>
  <si>
    <t>Sterkendries</t>
  </si>
  <si>
    <t>total ventes</t>
  </si>
  <si>
    <t>total caisse</t>
  </si>
  <si>
    <t>Ventes de la semaine :</t>
  </si>
  <si>
    <t>Caisse Semaine :</t>
  </si>
  <si>
    <t>Rentrées Banque semaine</t>
  </si>
  <si>
    <t>Vente cible :</t>
  </si>
  <si>
    <t>ACHATS</t>
  </si>
  <si>
    <t>FLEURS :</t>
  </si>
  <si>
    <t>Beekhuis Lundi</t>
  </si>
  <si>
    <t>Beekhuis Mercredi</t>
  </si>
  <si>
    <t>Beekhuis Vendredi</t>
  </si>
  <si>
    <t>Euroveiling Lundi</t>
  </si>
  <si>
    <t>Euroveiling Jeudi</t>
  </si>
  <si>
    <t xml:space="preserve">Euroveiling </t>
  </si>
  <si>
    <t>ACCESSOIRES :</t>
  </si>
  <si>
    <t>Prunus</t>
  </si>
  <si>
    <t>hors frais</t>
  </si>
  <si>
    <t>Total Marchandises :</t>
  </si>
  <si>
    <t>Frais Généraux :</t>
  </si>
  <si>
    <t>total des crédits :</t>
  </si>
  <si>
    <t>semaine précédente :</t>
  </si>
  <si>
    <t>différence :</t>
  </si>
  <si>
    <t>RESULTATS de la SEMAINE</t>
  </si>
  <si>
    <t>RESULTATS du MOIS</t>
  </si>
  <si>
    <t>RESULTATS du TRIMESTRE</t>
  </si>
  <si>
    <t>ventes :</t>
  </si>
  <si>
    <t>achats:</t>
  </si>
  <si>
    <t>bénéf Brut :</t>
  </si>
  <si>
    <t>% Bénéf.</t>
  </si>
  <si>
    <t>Totaux :</t>
  </si>
  <si>
    <t>contrôle :</t>
  </si>
  <si>
    <t>Achats chez BEEKHUIS:</t>
  </si>
  <si>
    <t xml:space="preserve">total : </t>
  </si>
  <si>
    <t>Achat Eurov. Lundi</t>
  </si>
  <si>
    <t>Achat Eurov. Mardi</t>
  </si>
  <si>
    <t>Achat Eurov. Jeudi</t>
  </si>
  <si>
    <t xml:space="preserve">Ventes de la semaine : </t>
  </si>
  <si>
    <t>Officiel :</t>
  </si>
  <si>
    <t>(.) :</t>
  </si>
  <si>
    <t>(.)</t>
  </si>
  <si>
    <t>à porter en Banque :</t>
  </si>
  <si>
    <t>SEM01</t>
  </si>
  <si>
    <t>SEM02</t>
  </si>
  <si>
    <t>SEM03</t>
  </si>
  <si>
    <t>SEM04</t>
  </si>
  <si>
    <t>SEM05</t>
  </si>
  <si>
    <t>SEM06</t>
  </si>
  <si>
    <t>SEM07</t>
  </si>
  <si>
    <t>SEM08</t>
  </si>
  <si>
    <t>SEM09</t>
  </si>
  <si>
    <t>SEM10</t>
  </si>
  <si>
    <t>SEM11</t>
  </si>
  <si>
    <t>SEM12</t>
  </si>
  <si>
    <t>SEM13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</si>
  <si>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</si>
  <si>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</si>
  <si>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</si>
  <si>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</si>
  <si>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</si>
  <si>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</si>
  <si>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</si>
  <si>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</si>
  <si>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</si>
  <si>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</si>
  <si>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</si>
  <si>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</si>
  <si>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</si>
  <si>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</si>
  <si>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</si>
  <si>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</si>
  <si>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</si>
  <si>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</si>
  <si>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</si>
  <si>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</si>
  <si>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</si>
  <si>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</si>
  <si>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</si>
  <si>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</si>
  <si>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</si>
  <si>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</si>
  <si>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</si>
  <si>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</si>
  <si>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</si>
  <si>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</si>
  <si>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</si>
  <si>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</si>
  <si>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</si>
  <si>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</si>
  <si>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</si>
  <si>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</si>
  <si>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</si>
  <si>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</si>
  <si>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</si>
  <si>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Totaux</t>
  </si>
  <si>
    <t>totaux :</t>
  </si>
  <si>
    <t>Prévisions pour l'année</t>
  </si>
  <si>
    <t>Date du jour :</t>
  </si>
  <si>
    <t xml:space="preserve">Début d'année : </t>
  </si>
  <si>
    <t>Nombre de jours ouvrés</t>
  </si>
  <si>
    <t>fin :</t>
  </si>
  <si>
    <t>Jours ouvré sur l'année</t>
  </si>
  <si>
    <t>Chiffre d 'affaire estimé :</t>
  </si>
  <si>
    <t>SEMAINE N°</t>
  </si>
  <si>
    <t>Comparaisons 2017-2018</t>
  </si>
  <si>
    <t>différence</t>
  </si>
  <si>
    <t xml:space="preserve">  </t>
  </si>
  <si>
    <t>Résultats de la semaine n°</t>
  </si>
  <si>
    <t>l</t>
  </si>
  <si>
    <t>Roger</t>
  </si>
  <si>
    <t xml:space="preserve">   </t>
  </si>
  <si>
    <t>Bef</t>
  </si>
  <si>
    <t>Frais :</t>
  </si>
  <si>
    <t>Précompte Immobilier maison</t>
  </si>
  <si>
    <t>Electricité et eaux</t>
  </si>
  <si>
    <t>Chauffage</t>
  </si>
  <si>
    <t>Entretien maison</t>
  </si>
  <si>
    <t>Entretien dépôt</t>
  </si>
  <si>
    <t>Produits d'entretien</t>
  </si>
  <si>
    <t>Taxe circulation</t>
  </si>
  <si>
    <t>voiture</t>
  </si>
  <si>
    <t>camion</t>
  </si>
  <si>
    <t>Assurances</t>
  </si>
  <si>
    <t>camions</t>
  </si>
  <si>
    <t>Entretiens et réparations</t>
  </si>
  <si>
    <t>Carburants</t>
  </si>
  <si>
    <t>Prélèvement Kilométrique (OBU)</t>
  </si>
  <si>
    <t>Frais de bureau Publicité</t>
  </si>
  <si>
    <t>téléphone</t>
  </si>
  <si>
    <t>mobile</t>
  </si>
  <si>
    <t>fax</t>
  </si>
  <si>
    <t>Cotisations Professionnelles</t>
  </si>
  <si>
    <t>Fournit Bur</t>
  </si>
  <si>
    <t>Cadeaux clientèle</t>
  </si>
  <si>
    <t>Publicité</t>
  </si>
  <si>
    <t>Rémunérations</t>
  </si>
  <si>
    <t>Honoraires</t>
  </si>
  <si>
    <t>avocat</t>
  </si>
  <si>
    <t>Incendie</t>
  </si>
  <si>
    <t>RC exploitation</t>
  </si>
  <si>
    <t>Assurances sociales</t>
  </si>
  <si>
    <t>Frais financiers</t>
  </si>
  <si>
    <t>taxe immondices</t>
  </si>
  <si>
    <t>frais financiers</t>
  </si>
  <si>
    <t>fin. Vers anticipés</t>
  </si>
  <si>
    <t>frais divers</t>
  </si>
  <si>
    <t>location container</t>
  </si>
  <si>
    <t>energie frigo camion</t>
  </si>
  <si>
    <t>petit matériel</t>
  </si>
  <si>
    <t>vêtements de travail</t>
  </si>
  <si>
    <t>terminal de paiement</t>
  </si>
  <si>
    <t>Transports</t>
  </si>
  <si>
    <t>Emballages</t>
  </si>
  <si>
    <t>Location Matériel</t>
  </si>
  <si>
    <t>Total des frais :</t>
  </si>
  <si>
    <t>Container modélisme</t>
  </si>
  <si>
    <t>Chariot élévateur</t>
  </si>
  <si>
    <t>total des frais payés</t>
  </si>
  <si>
    <t>équivalent à 22000 km</t>
  </si>
  <si>
    <t>équivalent à 6500 km</t>
  </si>
  <si>
    <t>440 par mois !!</t>
  </si>
  <si>
    <t>à amortir</t>
  </si>
  <si>
    <t>soit par semaine :</t>
  </si>
  <si>
    <t>Frais de fonctionnement</t>
  </si>
  <si>
    <t>Parking Euroveiling (sem)</t>
  </si>
  <si>
    <t>Commission Roger</t>
  </si>
  <si>
    <t>client moyen</t>
  </si>
  <si>
    <t>pour mémoire 2017 :</t>
  </si>
  <si>
    <t>sem6</t>
  </si>
  <si>
    <t>sem7</t>
  </si>
  <si>
    <t>total :</t>
  </si>
  <si>
    <t xml:space="preserve"> </t>
  </si>
  <si>
    <t>KINEO</t>
  </si>
  <si>
    <t>KALEO</t>
  </si>
  <si>
    <t>Kaleo</t>
  </si>
  <si>
    <t>cumul des deux semaines</t>
  </si>
  <si>
    <t>comparaison 2017</t>
  </si>
  <si>
    <t>Euroveiling mardi</t>
  </si>
  <si>
    <t xml:space="preserve">en vente, je suis à </t>
  </si>
  <si>
    <t>par rapport à 2017</t>
  </si>
  <si>
    <t xml:space="preserve">en achat, je suis à </t>
  </si>
  <si>
    <t xml:space="preserve">en résultat, je suis à </t>
  </si>
  <si>
    <t xml:space="preserve">     </t>
  </si>
  <si>
    <t>en plus</t>
  </si>
  <si>
    <t>bénéf trim</t>
  </si>
  <si>
    <t>frais fixes</t>
  </si>
  <si>
    <t>gain/perte</t>
  </si>
  <si>
    <t>bénéf/Perte</t>
  </si>
  <si>
    <t>avec oasis:</t>
  </si>
  <si>
    <t>vente fleurs</t>
  </si>
  <si>
    <t>vente access</t>
  </si>
  <si>
    <t>achat fleurs</t>
  </si>
  <si>
    <t>benef fleurs</t>
  </si>
  <si>
    <t>OASIS</t>
  </si>
  <si>
    <t xml:space="preserve">ventes : </t>
  </si>
  <si>
    <t>total vendu</t>
  </si>
  <si>
    <t>egal achat</t>
  </si>
  <si>
    <t>Bénéf</t>
  </si>
  <si>
    <t>ventes fleurs:</t>
  </si>
  <si>
    <t>achats fleurs:</t>
  </si>
  <si>
    <t>bénéf fleurs:</t>
  </si>
  <si>
    <t>%</t>
  </si>
  <si>
    <t>Clients Comptoir</t>
  </si>
  <si>
    <t>KALEO+COMPTOIR</t>
  </si>
  <si>
    <t>Muguet Charles</t>
  </si>
  <si>
    <t>Transport Muguet</t>
  </si>
  <si>
    <t>Frais voyage Muguet</t>
  </si>
  <si>
    <t>en moins</t>
  </si>
  <si>
    <t>date du jour</t>
  </si>
  <si>
    <t>Nbre de jours ouvrés</t>
  </si>
  <si>
    <t>vente en moins :</t>
  </si>
  <si>
    <t xml:space="preserve">soit par jour ouvré : </t>
  </si>
  <si>
    <t>Bénéf année</t>
  </si>
  <si>
    <t>Muguet BRELET</t>
  </si>
  <si>
    <t>Trèfles</t>
  </si>
  <si>
    <t>Balbir</t>
  </si>
  <si>
    <t>Biettelot</t>
  </si>
  <si>
    <t>Nadette</t>
  </si>
  <si>
    <t>Lisa</t>
  </si>
  <si>
    <t>Françoise</t>
  </si>
  <si>
    <t>Télévie</t>
  </si>
  <si>
    <t>Moshe</t>
  </si>
  <si>
    <t>Topkapi</t>
  </si>
  <si>
    <t>Manissa</t>
  </si>
  <si>
    <t>Teise</t>
  </si>
  <si>
    <t>Larondelle 1</t>
  </si>
  <si>
    <t>Larondelle 2</t>
  </si>
  <si>
    <t>Larondelle 3</t>
  </si>
  <si>
    <t>Benoit</t>
  </si>
  <si>
    <t>Hubo</t>
  </si>
  <si>
    <t>Collard</t>
  </si>
  <si>
    <t>Carifleur</t>
  </si>
  <si>
    <t>Accessoires BRELET</t>
  </si>
  <si>
    <t>Accessoires CHARLES</t>
  </si>
  <si>
    <t>Hotel</t>
  </si>
  <si>
    <t>Restaurant</t>
  </si>
  <si>
    <t>Heemskerk</t>
  </si>
  <si>
    <t>René</t>
  </si>
  <si>
    <t>BNHTrans</t>
  </si>
  <si>
    <t>Biettelot trèfles</t>
  </si>
  <si>
    <t xml:space="preserve">       </t>
  </si>
  <si>
    <t xml:space="preserve">          </t>
  </si>
  <si>
    <t xml:space="preserve">    </t>
  </si>
  <si>
    <t>divers</t>
  </si>
  <si>
    <t xml:space="preserve">      </t>
  </si>
  <si>
    <t>Zito Aline</t>
  </si>
  <si>
    <t>asbl Pt Jésus de Pragues</t>
  </si>
  <si>
    <t>par sem :</t>
  </si>
  <si>
    <t>La facture 24533 de Leheureux est inscrite au 30/4</t>
  </si>
  <si>
    <t>semaines 1 à 23</t>
  </si>
  <si>
    <t>(normal car 2 fact vero + fact leheureux muguet</t>
  </si>
  <si>
    <t>fleurs uniquement</t>
  </si>
  <si>
    <t xml:space="preserve">TOTAL DES CREDITS  </t>
  </si>
  <si>
    <t>Euroveiling Mardi</t>
  </si>
  <si>
    <t>(,)</t>
  </si>
  <si>
    <t>Chauffage dépôt</t>
  </si>
  <si>
    <t>!!</t>
  </si>
  <si>
    <t>Assuance Dépôt</t>
  </si>
  <si>
    <t>Protection juridique véhicules</t>
  </si>
  <si>
    <t>deux fois six mois</t>
  </si>
  <si>
    <t>équivalent à 15250km</t>
  </si>
  <si>
    <t>téléphone(2x6 mois)</t>
  </si>
  <si>
    <t>Ensemblier</t>
  </si>
  <si>
    <t>Anthos</t>
  </si>
  <si>
    <t>Ancien Bilan</t>
  </si>
  <si>
    <t>RESULTATS de l'année</t>
  </si>
  <si>
    <t>en BEF</t>
  </si>
  <si>
    <t>Gain/perte</t>
  </si>
  <si>
    <t>par semaine</t>
  </si>
  <si>
    <t>Prévisions sur l'année:</t>
  </si>
  <si>
    <t>Ventes :</t>
  </si>
  <si>
    <t>Achats :</t>
  </si>
  <si>
    <t>BB</t>
  </si>
  <si>
    <t>semaine:</t>
  </si>
  <si>
    <t>fleurs seules</t>
  </si>
  <si>
    <t xml:space="preserve">nn   </t>
  </si>
  <si>
    <t>semaine précédente</t>
  </si>
  <si>
    <t>RESULTATS de l'ANNEE</t>
  </si>
  <si>
    <t>bénéf par semaine:</t>
  </si>
  <si>
    <t>frais par semaine :</t>
  </si>
  <si>
    <t>Net hebdomadaire:</t>
  </si>
  <si>
    <t>Flor.st Jean</t>
  </si>
  <si>
    <t>CUMUL des DEUX SEMAINES</t>
  </si>
  <si>
    <t>La Bougainvillée</t>
  </si>
  <si>
    <t>La Bouginvillée</t>
  </si>
  <si>
    <t xml:space="preserve">en moins </t>
  </si>
  <si>
    <t>GUI &amp; HOUX</t>
  </si>
  <si>
    <t>dobb</t>
  </si>
  <si>
    <t>bou</t>
  </si>
  <si>
    <t>nat</t>
  </si>
  <si>
    <t>pet</t>
  </si>
  <si>
    <t>dubu</t>
  </si>
  <si>
    <t>sent</t>
  </si>
  <si>
    <t>Les ventes du Lundi 24/12 sont inscrites à la date de Dimanche 12</t>
  </si>
  <si>
    <t>fleurs à vendre</t>
  </si>
  <si>
    <t>Oasis à vendre</t>
  </si>
  <si>
    <t>Gui à vendre</t>
  </si>
  <si>
    <t xml:space="preserve">en comptant une vente de 1000 € </t>
  </si>
  <si>
    <t>à Véronique</t>
  </si>
  <si>
    <t>Beekhuis Jeudi</t>
  </si>
  <si>
    <t>achat de GUI</t>
  </si>
  <si>
    <t>Boux</t>
  </si>
  <si>
    <t>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</si>
</sst>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€&quot;\ * #,##0.00_ ;_ &quot;€&quot;\ * \-#,##0.00_ ;_ &quot;€&quot;\ * &quot;-&quot;??_ ;_ @_ "/>
    <numFmt numFmtId="164" formatCode="_-* #,##0.00\ &quot;€&quot;_-;\-* #,##0.00\ &quot;€&quot;_-;_-* &quot;-&quot;??\ &quot;€&quot;_-;_-@_-"/>
    <numFmt numFmtId="165" formatCode="[$BEF]\ #,##0.0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8"/>
      <color theme="1"/>
      <name val="Bauhaus 93"/>
      <family val="5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0"/>
      <color theme="1"/>
      <name val="Berlin Sans FB Demi"/>
      <family val="2"/>
    </font>
    <font>
      <sz val="16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hair">
        <color rgb="FFCCCCCC"/>
      </top>
      <bottom style="hair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/>
      <top style="hair">
        <color rgb="FFCCCCCC"/>
      </top>
      <bottom/>
      <diagonal/>
    </border>
    <border>
      <left style="medium">
        <color rgb="FFCCCCCC"/>
      </left>
      <right/>
      <top style="hair">
        <color rgb="FFCCCCCC"/>
      </top>
      <bottom style="hair">
        <color rgb="FFCCCCCC"/>
      </bottom>
      <diagonal/>
    </border>
    <border>
      <left style="medium">
        <color rgb="FFCCCCCC"/>
      </left>
      <right style="thin">
        <color theme="0" tint="-0.34998626667073579"/>
      </right>
      <top/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hair">
        <color theme="0" tint="-0.34998626667073579"/>
      </bottom>
      <diagonal/>
    </border>
    <border>
      <left style="medium">
        <color rgb="FFCCCCCC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double">
        <color theme="9" tint="0.39994506668294322"/>
      </top>
      <bottom style="hair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hair">
        <color theme="9" tint="0.39994506668294322"/>
      </top>
      <bottom style="hair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hair">
        <color theme="9" tint="0.39994506668294322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3" borderId="3" xfId="0" applyFill="1" applyBorder="1"/>
    <xf numFmtId="0" fontId="0" fillId="0" borderId="5" xfId="0" applyBorder="1"/>
    <xf numFmtId="0" fontId="0" fillId="4" borderId="0" xfId="0" applyFill="1"/>
    <xf numFmtId="0" fontId="4" fillId="12" borderId="0" xfId="0" applyFont="1" applyFill="1"/>
    <xf numFmtId="14" fontId="0" fillId="0" borderId="17" xfId="0" applyNumberFormat="1" applyBorder="1"/>
    <xf numFmtId="0" fontId="0" fillId="0" borderId="17" xfId="0" applyBorder="1"/>
    <xf numFmtId="164" fontId="0" fillId="0" borderId="10" xfId="1" applyFont="1" applyBorder="1"/>
    <xf numFmtId="164" fontId="0" fillId="0" borderId="11" xfId="1" applyFont="1" applyBorder="1"/>
    <xf numFmtId="164" fontId="0" fillId="0" borderId="12" xfId="1" applyFont="1" applyBorder="1"/>
    <xf numFmtId="164" fontId="0" fillId="0" borderId="13" xfId="1" applyFont="1" applyBorder="1"/>
    <xf numFmtId="164" fontId="0" fillId="0" borderId="14" xfId="1" applyFont="1" applyBorder="1"/>
    <xf numFmtId="164" fontId="0" fillId="0" borderId="15" xfId="1" applyFont="1" applyBorder="1"/>
    <xf numFmtId="164" fontId="0" fillId="0" borderId="16" xfId="1" applyFont="1" applyBorder="1"/>
    <xf numFmtId="0" fontId="6" fillId="0" borderId="1" xfId="0" applyFont="1" applyBorder="1"/>
    <xf numFmtId="0" fontId="6" fillId="2" borderId="1" xfId="0" applyFont="1" applyFill="1" applyBorder="1"/>
    <xf numFmtId="0" fontId="7" fillId="0" borderId="9" xfId="0" applyFont="1" applyBorder="1"/>
    <xf numFmtId="164" fontId="0" fillId="0" borderId="0" xfId="1" applyFont="1"/>
    <xf numFmtId="164" fontId="0" fillId="0" borderId="0" xfId="0" applyNumberFormat="1"/>
    <xf numFmtId="0" fontId="0" fillId="10" borderId="0" xfId="0" applyFill="1" applyAlignment="1">
      <alignment horizontal="center"/>
    </xf>
    <xf numFmtId="0" fontId="0" fillId="13" borderId="0" xfId="0" applyFill="1"/>
    <xf numFmtId="0" fontId="0" fillId="13" borderId="18" xfId="0" applyFill="1" applyBorder="1"/>
    <xf numFmtId="0" fontId="0" fillId="11" borderId="18" xfId="0" applyFill="1" applyBorder="1"/>
    <xf numFmtId="0" fontId="0" fillId="10" borderId="18" xfId="0" applyFill="1" applyBorder="1"/>
    <xf numFmtId="164" fontId="0" fillId="0" borderId="19" xfId="1" applyFont="1" applyBorder="1"/>
    <xf numFmtId="164" fontId="0" fillId="0" borderId="20" xfId="1" applyFont="1" applyBorder="1"/>
    <xf numFmtId="164" fontId="0" fillId="0" borderId="21" xfId="1" applyFont="1" applyBorder="1"/>
    <xf numFmtId="164" fontId="0" fillId="0" borderId="6" xfId="1" applyFont="1" applyBorder="1"/>
    <xf numFmtId="164" fontId="0" fillId="0" borderId="7" xfId="1" applyFont="1" applyBorder="1"/>
    <xf numFmtId="164" fontId="0" fillId="0" borderId="2" xfId="1" applyFont="1" applyBorder="1"/>
    <xf numFmtId="164" fontId="0" fillId="14" borderId="23" xfId="1" applyFont="1" applyFill="1" applyBorder="1"/>
    <xf numFmtId="164" fontId="0" fillId="14" borderId="24" xfId="1" applyFont="1" applyFill="1" applyBorder="1"/>
    <xf numFmtId="164" fontId="0" fillId="14" borderId="25" xfId="1" applyFont="1" applyFill="1" applyBorder="1"/>
    <xf numFmtId="0" fontId="0" fillId="0" borderId="22" xfId="0" applyBorder="1"/>
    <xf numFmtId="0" fontId="8" fillId="0" borderId="0" xfId="0" applyFont="1"/>
    <xf numFmtId="164" fontId="8" fillId="0" borderId="0" xfId="1" applyFont="1"/>
    <xf numFmtId="164" fontId="0" fillId="0" borderId="26" xfId="1" applyFont="1" applyBorder="1"/>
    <xf numFmtId="9" fontId="0" fillId="0" borderId="0" xfId="2" applyFont="1"/>
    <xf numFmtId="164" fontId="0" fillId="13" borderId="18" xfId="0" applyNumberFormat="1" applyFill="1" applyBorder="1"/>
    <xf numFmtId="9" fontId="0" fillId="13" borderId="18" xfId="2" applyFont="1" applyFill="1" applyBorder="1"/>
    <xf numFmtId="164" fontId="0" fillId="11" borderId="18" xfId="0" applyNumberFormat="1" applyFill="1" applyBorder="1"/>
    <xf numFmtId="164" fontId="0" fillId="10" borderId="18" xfId="0" applyNumberFormat="1" applyFill="1" applyBorder="1"/>
    <xf numFmtId="0" fontId="7" fillId="0" borderId="8" xfId="0" applyFont="1" applyBorder="1" applyAlignment="1">
      <alignment horizontal="center"/>
    </xf>
    <xf numFmtId="164" fontId="0" fillId="3" borderId="4" xfId="0" applyNumberFormat="1" applyFill="1" applyBorder="1"/>
    <xf numFmtId="164" fontId="8" fillId="0" borderId="2" xfId="0" applyNumberFormat="1" applyFont="1" applyBorder="1"/>
    <xf numFmtId="164" fontId="0" fillId="0" borderId="27" xfId="1" applyFont="1" applyBorder="1"/>
    <xf numFmtId="164" fontId="0" fillId="0" borderId="18" xfId="1" applyFont="1" applyBorder="1"/>
    <xf numFmtId="0" fontId="0" fillId="15" borderId="0" xfId="0" applyFill="1"/>
    <xf numFmtId="9" fontId="0" fillId="11" borderId="18" xfId="2" applyFont="1" applyFill="1" applyBorder="1"/>
    <xf numFmtId="9" fontId="0" fillId="10" borderId="18" xfId="2" applyFont="1" applyFill="1" applyBorder="1"/>
    <xf numFmtId="9" fontId="0" fillId="0" borderId="0" xfId="0" applyNumberFormat="1"/>
    <xf numFmtId="14" fontId="0" fillId="0" borderId="0" xfId="0" applyNumberFormat="1"/>
    <xf numFmtId="0" fontId="0" fillId="0" borderId="28" xfId="0" applyBorder="1"/>
    <xf numFmtId="0" fontId="0" fillId="0" borderId="7" xfId="0" applyBorder="1" applyAlignment="1">
      <alignment horizontal="center"/>
    </xf>
    <xf numFmtId="0" fontId="6" fillId="16" borderId="1" xfId="0" applyFont="1" applyFill="1" applyBorder="1"/>
    <xf numFmtId="164" fontId="0" fillId="16" borderId="12" xfId="1" applyFont="1" applyFill="1" applyBorder="1"/>
    <xf numFmtId="164" fontId="0" fillId="16" borderId="13" xfId="1" applyFont="1" applyFill="1" applyBorder="1"/>
    <xf numFmtId="164" fontId="0" fillId="16" borderId="11" xfId="1" applyFont="1" applyFill="1" applyBorder="1"/>
    <xf numFmtId="0" fontId="0" fillId="16" borderId="0" xfId="0" applyFill="1"/>
    <xf numFmtId="164" fontId="0" fillId="16" borderId="0" xfId="0" applyNumberFormat="1" applyFill="1"/>
    <xf numFmtId="0" fontId="0" fillId="2" borderId="0" xfId="0" applyFill="1"/>
    <xf numFmtId="164" fontId="0" fillId="0" borderId="0" xfId="0" applyNumberFormat="1"/>
    <xf numFmtId="9" fontId="0" fillId="0" borderId="0" xfId="2" applyFont="1"/>
    <xf numFmtId="0" fontId="9" fillId="0" borderId="0" xfId="0" applyFont="1"/>
    <xf numFmtId="0" fontId="10" fillId="0" borderId="0" xfId="0" applyFont="1"/>
    <xf numFmtId="0" fontId="6" fillId="17" borderId="1" xfId="0" applyFont="1" applyFill="1" applyBorder="1"/>
    <xf numFmtId="164" fontId="0" fillId="17" borderId="12" xfId="1" applyFont="1" applyFill="1" applyBorder="1"/>
    <xf numFmtId="164" fontId="0" fillId="17" borderId="13" xfId="1" applyFont="1" applyFill="1" applyBorder="1"/>
    <xf numFmtId="164" fontId="0" fillId="17" borderId="11" xfId="1" applyFont="1" applyFill="1" applyBorder="1"/>
    <xf numFmtId="164" fontId="11" fillId="0" borderId="0" xfId="1" applyFont="1"/>
    <xf numFmtId="0" fontId="12" fillId="0" borderId="0" xfId="0" applyFont="1"/>
    <xf numFmtId="164" fontId="1" fillId="10" borderId="18" xfId="0" applyNumberFormat="1" applyFont="1" applyFill="1" applyBorder="1"/>
    <xf numFmtId="0" fontId="0" fillId="0" borderId="28" xfId="0" applyBorder="1" applyAlignment="1">
      <alignment horizontal="center"/>
    </xf>
    <xf numFmtId="0" fontId="12" fillId="2" borderId="18" xfId="0" applyFont="1" applyFill="1" applyBorder="1"/>
    <xf numFmtId="164" fontId="12" fillId="2" borderId="18" xfId="0" applyNumberFormat="1" applyFont="1" applyFill="1" applyBorder="1"/>
    <xf numFmtId="0" fontId="0" fillId="0" borderId="0" xfId="0" applyFill="1" applyBorder="1"/>
    <xf numFmtId="0" fontId="13" fillId="0" borderId="0" xfId="0" applyFont="1"/>
    <xf numFmtId="0" fontId="6" fillId="0" borderId="9" xfId="0" applyFont="1" applyBorder="1"/>
    <xf numFmtId="0" fontId="6" fillId="2" borderId="9" xfId="0" applyFont="1" applyFill="1" applyBorder="1"/>
    <xf numFmtId="0" fontId="6" fillId="16" borderId="9" xfId="0" applyFont="1" applyFill="1" applyBorder="1"/>
    <xf numFmtId="14" fontId="0" fillId="0" borderId="0" xfId="0" applyNumberFormat="1" applyBorder="1"/>
    <xf numFmtId="0" fontId="0" fillId="0" borderId="0" xfId="0" applyBorder="1"/>
    <xf numFmtId="164" fontId="0" fillId="0" borderId="29" xfId="1" applyFont="1" applyBorder="1"/>
    <xf numFmtId="164" fontId="0" fillId="0" borderId="30" xfId="1" applyFont="1" applyBorder="1"/>
    <xf numFmtId="164" fontId="0" fillId="16" borderId="30" xfId="1" applyFont="1" applyFill="1" applyBorder="1"/>
    <xf numFmtId="164" fontId="0" fillId="0" borderId="31" xfId="1" applyFont="1" applyBorder="1"/>
    <xf numFmtId="0" fontId="14" fillId="0" borderId="0" xfId="0" applyFont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13" borderId="37" xfId="0" applyFill="1" applyBorder="1"/>
    <xf numFmtId="164" fontId="0" fillId="13" borderId="38" xfId="0" applyNumberFormat="1" applyFill="1" applyBorder="1"/>
    <xf numFmtId="9" fontId="0" fillId="13" borderId="38" xfId="2" applyFont="1" applyFill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164" fontId="0" fillId="0" borderId="43" xfId="0" applyNumberFormat="1" applyBorder="1"/>
    <xf numFmtId="0" fontId="0" fillId="0" borderId="44" xfId="0" applyBorder="1"/>
    <xf numFmtId="0" fontId="0" fillId="0" borderId="45" xfId="0" applyBorder="1"/>
    <xf numFmtId="164" fontId="0" fillId="0" borderId="0" xfId="0" applyNumberFormat="1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164" fontId="1" fillId="13" borderId="18" xfId="0" applyNumberFormat="1" applyFont="1" applyFill="1" applyBorder="1"/>
    <xf numFmtId="164" fontId="1" fillId="0" borderId="0" xfId="0" applyNumberFormat="1" applyFont="1"/>
    <xf numFmtId="0" fontId="11" fillId="0" borderId="0" xfId="1" applyNumberFormat="1" applyFont="1" applyAlignment="1">
      <alignment horizontal="center"/>
    </xf>
    <xf numFmtId="164" fontId="1" fillId="0" borderId="0" xfId="1" applyFont="1"/>
    <xf numFmtId="0" fontId="6" fillId="18" borderId="1" xfId="0" applyFont="1" applyFill="1" applyBorder="1"/>
    <xf numFmtId="164" fontId="0" fillId="18" borderId="12" xfId="1" applyFont="1" applyFill="1" applyBorder="1"/>
    <xf numFmtId="164" fontId="0" fillId="18" borderId="13" xfId="1" applyFont="1" applyFill="1" applyBorder="1"/>
    <xf numFmtId="164" fontId="0" fillId="18" borderId="11" xfId="1" applyFont="1" applyFill="1" applyBorder="1"/>
    <xf numFmtId="0" fontId="0" fillId="13" borderId="0" xfId="0" applyFill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164" fontId="0" fillId="0" borderId="0" xfId="1" applyFont="1" applyBorder="1"/>
    <xf numFmtId="164" fontId="0" fillId="14" borderId="18" xfId="0" applyNumberFormat="1" applyFill="1" applyBorder="1"/>
    <xf numFmtId="9" fontId="0" fillId="14" borderId="18" xfId="2" applyFont="1" applyFill="1" applyBorder="1"/>
    <xf numFmtId="164" fontId="15" fillId="2" borderId="18" xfId="0" applyNumberFormat="1" applyFont="1" applyFill="1" applyBorder="1"/>
    <xf numFmtId="9" fontId="15" fillId="2" borderId="18" xfId="2" applyFont="1" applyFill="1" applyBorder="1"/>
    <xf numFmtId="164" fontId="0" fillId="14" borderId="58" xfId="1" applyFont="1" applyFill="1" applyBorder="1"/>
    <xf numFmtId="164" fontId="0" fillId="14" borderId="5" xfId="1" applyFont="1" applyFill="1" applyBorder="1"/>
    <xf numFmtId="164" fontId="0" fillId="14" borderId="59" xfId="1" applyFont="1" applyFill="1" applyBorder="1"/>
    <xf numFmtId="164" fontId="0" fillId="0" borderId="28" xfId="1" applyFont="1" applyBorder="1"/>
    <xf numFmtId="14" fontId="0" fillId="0" borderId="0" xfId="0" applyNumberFormat="1" applyAlignment="1">
      <alignment horizontal="center"/>
    </xf>
    <xf numFmtId="0" fontId="0" fillId="0" borderId="0" xfId="0" applyNumberFormat="1"/>
    <xf numFmtId="164" fontId="5" fillId="2" borderId="0" xfId="0" applyNumberFormat="1" applyFont="1" applyFill="1"/>
    <xf numFmtId="164" fontId="16" fillId="0" borderId="18" xfId="1" applyFont="1" applyBorder="1"/>
    <xf numFmtId="164" fontId="0" fillId="19" borderId="0" xfId="0" applyNumberFormat="1" applyFill="1"/>
    <xf numFmtId="9" fontId="0" fillId="19" borderId="0" xfId="0" applyNumberFormat="1" applyFill="1"/>
    <xf numFmtId="164" fontId="0" fillId="2" borderId="0" xfId="0" applyNumberFormat="1" applyFill="1"/>
    <xf numFmtId="4" fontId="0" fillId="0" borderId="7" xfId="0" applyNumberFormat="1" applyBorder="1"/>
    <xf numFmtId="164" fontId="5" fillId="0" borderId="13" xfId="1" applyFont="1" applyBorder="1"/>
    <xf numFmtId="0" fontId="11" fillId="0" borderId="22" xfId="0" applyFont="1" applyBorder="1"/>
    <xf numFmtId="164" fontId="0" fillId="14" borderId="12" xfId="1" applyFont="1" applyFill="1" applyBorder="1"/>
    <xf numFmtId="164" fontId="0" fillId="14" borderId="13" xfId="1" applyFont="1" applyFill="1" applyBorder="1"/>
    <xf numFmtId="20" fontId="0" fillId="0" borderId="5" xfId="0" applyNumberFormat="1" applyBorder="1"/>
    <xf numFmtId="20" fontId="0" fillId="0" borderId="0" xfId="1" applyNumberFormat="1" applyFont="1"/>
    <xf numFmtId="20" fontId="0" fillId="0" borderId="0" xfId="0" applyNumberFormat="1" applyFill="1" applyBorder="1"/>
    <xf numFmtId="0" fontId="0" fillId="14" borderId="50" xfId="0" applyFill="1" applyBorder="1"/>
    <xf numFmtId="0" fontId="0" fillId="14" borderId="51" xfId="0" applyFill="1" applyBorder="1"/>
    <xf numFmtId="0" fontId="0" fillId="14" borderId="52" xfId="0" applyFill="1" applyBorder="1"/>
    <xf numFmtId="0" fontId="0" fillId="14" borderId="53" xfId="0" applyFill="1" applyBorder="1"/>
    <xf numFmtId="164" fontId="0" fillId="14" borderId="0" xfId="1" applyFont="1" applyFill="1" applyBorder="1"/>
    <xf numFmtId="0" fontId="0" fillId="14" borderId="54" xfId="0" applyFill="1" applyBorder="1"/>
    <xf numFmtId="0" fontId="0" fillId="14" borderId="0" xfId="0" applyFill="1" applyBorder="1"/>
    <xf numFmtId="44" fontId="0" fillId="0" borderId="0" xfId="0" applyNumberFormat="1"/>
    <xf numFmtId="165" fontId="0" fillId="0" borderId="0" xfId="0" applyNumberFormat="1"/>
    <xf numFmtId="0" fontId="0" fillId="20" borderId="0" xfId="0" applyFill="1"/>
    <xf numFmtId="165" fontId="0" fillId="20" borderId="0" xfId="0" applyNumberFormat="1" applyFill="1"/>
    <xf numFmtId="0" fontId="0" fillId="2" borderId="0" xfId="0" applyFill="1" applyBorder="1"/>
    <xf numFmtId="164" fontId="0" fillId="2" borderId="0" xfId="0" applyNumberFormat="1" applyFill="1" applyBorder="1"/>
    <xf numFmtId="9" fontId="0" fillId="2" borderId="0" xfId="2" applyFont="1" applyFill="1" applyBorder="1"/>
    <xf numFmtId="164" fontId="0" fillId="3" borderId="0" xfId="0" applyNumberFormat="1" applyFill="1"/>
    <xf numFmtId="9" fontId="0" fillId="3" borderId="0" xfId="2" applyFont="1" applyFill="1"/>
    <xf numFmtId="164" fontId="0" fillId="20" borderId="12" xfId="1" applyFont="1" applyFill="1" applyBorder="1"/>
    <xf numFmtId="164" fontId="0" fillId="20" borderId="13" xfId="1" applyFont="1" applyFill="1" applyBorder="1"/>
    <xf numFmtId="164" fontId="0" fillId="20" borderId="11" xfId="1" applyFont="1" applyFill="1" applyBorder="1"/>
    <xf numFmtId="164" fontId="18" fillId="0" borderId="2" xfId="1" applyFont="1" applyBorder="1"/>
    <xf numFmtId="0" fontId="17" fillId="0" borderId="0" xfId="0" applyFont="1"/>
    <xf numFmtId="0" fontId="0" fillId="0" borderId="0" xfId="0" applyNumberFormat="1" applyAlignment="1"/>
    <xf numFmtId="0" fontId="19" fillId="0" borderId="0" xfId="0" applyNumberFormat="1" applyFont="1" applyAlignment="1"/>
    <xf numFmtId="0" fontId="20" fillId="16" borderId="1" xfId="0" applyFont="1" applyFill="1" applyBorder="1"/>
    <xf numFmtId="164" fontId="11" fillId="16" borderId="12" xfId="1" applyFont="1" applyFill="1" applyBorder="1"/>
    <xf numFmtId="164" fontId="11" fillId="16" borderId="13" xfId="1" applyFont="1" applyFill="1" applyBorder="1"/>
    <xf numFmtId="164" fontId="11" fillId="16" borderId="11" xfId="1" applyFont="1" applyFill="1" applyBorder="1"/>
    <xf numFmtId="0" fontId="0" fillId="21" borderId="50" xfId="0" applyFill="1" applyBorder="1"/>
    <xf numFmtId="0" fontId="0" fillId="21" borderId="51" xfId="0" applyFill="1" applyBorder="1"/>
    <xf numFmtId="0" fontId="0" fillId="21" borderId="52" xfId="0" applyFill="1" applyBorder="1"/>
    <xf numFmtId="0" fontId="0" fillId="21" borderId="53" xfId="0" applyFill="1" applyBorder="1"/>
    <xf numFmtId="164" fontId="0" fillId="21" borderId="0" xfId="1" applyFont="1" applyFill="1" applyBorder="1"/>
    <xf numFmtId="0" fontId="0" fillId="21" borderId="54" xfId="0" applyFill="1" applyBorder="1"/>
    <xf numFmtId="0" fontId="0" fillId="21" borderId="0" xfId="0" applyFill="1" applyBorder="1"/>
    <xf numFmtId="0" fontId="21" fillId="0" borderId="0" xfId="0" applyFont="1"/>
    <xf numFmtId="0" fontId="16" fillId="0" borderId="0" xfId="0" applyFont="1"/>
    <xf numFmtId="164" fontId="11" fillId="0" borderId="12" xfId="1" applyFont="1" applyBorder="1"/>
    <xf numFmtId="164" fontId="1" fillId="0" borderId="18" xfId="1" applyFont="1" applyBorder="1"/>
    <xf numFmtId="0" fontId="5" fillId="7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164" fontId="0" fillId="15" borderId="11" xfId="1" applyFont="1" applyFill="1" applyBorder="1"/>
    <xf numFmtId="164" fontId="0" fillId="15" borderId="13" xfId="1" applyFont="1" applyFill="1" applyBorder="1"/>
    <xf numFmtId="0" fontId="0" fillId="22" borderId="18" xfId="0" applyFill="1" applyBorder="1"/>
    <xf numFmtId="164" fontId="0" fillId="22" borderId="18" xfId="0" applyNumberFormat="1" applyFill="1" applyBorder="1"/>
    <xf numFmtId="9" fontId="0" fillId="22" borderId="18" xfId="2" applyFont="1" applyFill="1" applyBorder="1"/>
  </cellXfs>
  <cellStyles count="4">
    <cellStyle name="Monétaire" xfId="1" builtinId="4"/>
    <cellStyle name="Monétaire 2" xfId="3"/>
    <cellStyle name="Normal" xfId="0" builtinId="0"/>
    <cellStyle name="Pourcenta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saintemarie-doulon.org/spip.php?article1149" TargetMode="External"/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513578</xdr:colOff>
      <xdr:row>4</xdr:row>
      <xdr:rowOff>190500</xdr:rowOff>
    </xdr:from>
    <xdr:ext cx="1125501" cy="365760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8F811CC-3AE8-4433-ABF4-D4B252DE98C4}"/>
            </a:ext>
          </a:extLst>
        </xdr:cNvPr>
        <xdr:cNvSpPr/>
      </xdr:nvSpPr>
      <xdr:spPr>
        <a:xfrm rot="16200000">
          <a:off x="9458329" y="2285224"/>
          <a:ext cx="3657600" cy="112550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6600" b="1" cap="none" spc="0">
              <a:ln/>
              <a:solidFill>
                <a:schemeClr val="accent4"/>
              </a:solidFill>
              <a:effectLst/>
            </a:rPr>
            <a:t>Pâques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476250</xdr:colOff>
      <xdr:row>16</xdr:row>
      <xdr:rowOff>60273</xdr:rowOff>
    </xdr:from>
    <xdr:to>
      <xdr:col>13</xdr:col>
      <xdr:colOff>514350</xdr:colOff>
      <xdr:row>21</xdr:row>
      <xdr:rowOff>38099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86BC4D15-BD6E-47AD-A031-A23F6DAAE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10010775" y="3746448"/>
          <a:ext cx="1562100" cy="1168451"/>
        </a:xfrm>
        <a:prstGeom prst="rect">
          <a:avLst/>
        </a:prstGeom>
      </xdr:spPr>
    </xdr:pic>
    <xdr:clientData/>
  </xdr:twoCellAnchor>
  <xdr:oneCellAnchor>
    <xdr:from>
      <xdr:col>12</xdr:col>
      <xdr:colOff>588461</xdr:colOff>
      <xdr:row>3</xdr:row>
      <xdr:rowOff>134236</xdr:rowOff>
    </xdr:from>
    <xdr:ext cx="937629" cy="3112903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13491C60-5690-4426-954F-BE2828FCDD5A}"/>
            </a:ext>
          </a:extLst>
        </xdr:cNvPr>
        <xdr:cNvSpPr/>
      </xdr:nvSpPr>
      <xdr:spPr>
        <a:xfrm rot="16200000">
          <a:off x="9797349" y="1802898"/>
          <a:ext cx="311290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5400" b="1" cap="none" spc="0">
              <a:ln/>
              <a:solidFill>
                <a:schemeClr val="accent4"/>
              </a:solidFill>
              <a:effectLst/>
            </a:rPr>
            <a:t>Pentecôte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1365969</xdr:colOff>
      <xdr:row>0</xdr:row>
      <xdr:rowOff>0</xdr:rowOff>
    </xdr:from>
    <xdr:ext cx="1782924" cy="503856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F755EF5-5AB7-44A0-A3D4-872020BE04EA}"/>
            </a:ext>
          </a:extLst>
        </xdr:cNvPr>
        <xdr:cNvSpPr/>
      </xdr:nvSpPr>
      <xdr:spPr>
        <a:xfrm rot="16200000">
          <a:off x="-261850" y="1627819"/>
          <a:ext cx="5038561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Lundi de Pentecôte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430020</xdr:colOff>
      <xdr:row>3</xdr:row>
      <xdr:rowOff>193173</xdr:rowOff>
    </xdr:from>
    <xdr:ext cx="3894329" cy="342786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E97CBF3-CF3E-4AA1-A8EA-662EA3312F1A}"/>
            </a:ext>
          </a:extLst>
        </xdr:cNvPr>
        <xdr:cNvSpPr/>
      </xdr:nvSpPr>
      <xdr:spPr>
        <a:xfrm>
          <a:off x="5078220" y="774198"/>
          <a:ext cx="3894329" cy="34278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Magasin fermé  trop calme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379250</xdr:colOff>
      <xdr:row>3</xdr:row>
      <xdr:rowOff>64585</xdr:rowOff>
    </xdr:from>
    <xdr:ext cx="4459449" cy="593304"/>
    <xdr:sp macro="" textlink="">
      <xdr:nvSpPr>
        <xdr:cNvPr id="2" name="Rectangle 1"/>
        <xdr:cNvSpPr/>
      </xdr:nvSpPr>
      <xdr:spPr>
        <a:xfrm>
          <a:off x="1893725" y="645610"/>
          <a:ext cx="4459449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32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32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1</xdr:col>
      <xdr:colOff>419100</xdr:colOff>
      <xdr:row>14</xdr:row>
      <xdr:rowOff>19050</xdr:rowOff>
    </xdr:from>
    <xdr:ext cx="4459449" cy="593304"/>
    <xdr:sp macro="" textlink="">
      <xdr:nvSpPr>
        <xdr:cNvPr id="3" name="Rectangle 2"/>
        <xdr:cNvSpPr/>
      </xdr:nvSpPr>
      <xdr:spPr>
        <a:xfrm>
          <a:off x="1933575" y="3228975"/>
          <a:ext cx="4459449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32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32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238124</xdr:colOff>
      <xdr:row>2</xdr:row>
      <xdr:rowOff>142874</xdr:rowOff>
    </xdr:from>
    <xdr:ext cx="4352925" cy="542925"/>
    <xdr:sp macro="" textlink="">
      <xdr:nvSpPr>
        <xdr:cNvPr id="2" name="Rectangle 1"/>
        <xdr:cNvSpPr/>
      </xdr:nvSpPr>
      <xdr:spPr>
        <a:xfrm>
          <a:off x="3314699" y="523874"/>
          <a:ext cx="4352925" cy="5429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32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32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3</xdr:col>
      <xdr:colOff>266700</xdr:colOff>
      <xdr:row>7</xdr:row>
      <xdr:rowOff>104775</xdr:rowOff>
    </xdr:from>
    <xdr:ext cx="4459449" cy="468013"/>
    <xdr:sp macro="" textlink="">
      <xdr:nvSpPr>
        <xdr:cNvPr id="3" name="Rectangle 2"/>
        <xdr:cNvSpPr/>
      </xdr:nvSpPr>
      <xdr:spPr>
        <a:xfrm>
          <a:off x="3343275" y="1647825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3</xdr:col>
      <xdr:colOff>209550</xdr:colOff>
      <xdr:row>14</xdr:row>
      <xdr:rowOff>95250</xdr:rowOff>
    </xdr:from>
    <xdr:ext cx="4459449" cy="468013"/>
    <xdr:sp macro="" textlink="">
      <xdr:nvSpPr>
        <xdr:cNvPr id="4" name="Rectangle 3"/>
        <xdr:cNvSpPr/>
      </xdr:nvSpPr>
      <xdr:spPr>
        <a:xfrm>
          <a:off x="3286125" y="3305175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790575</xdr:colOff>
      <xdr:row>2</xdr:row>
      <xdr:rowOff>76200</xdr:rowOff>
    </xdr:from>
    <xdr:ext cx="4459449" cy="371475"/>
    <xdr:sp macro="" textlink="">
      <xdr:nvSpPr>
        <xdr:cNvPr id="2" name="Rectangle 1"/>
        <xdr:cNvSpPr/>
      </xdr:nvSpPr>
      <xdr:spPr>
        <a:xfrm>
          <a:off x="4629150" y="457200"/>
          <a:ext cx="4459449" cy="3714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4</xdr:col>
      <xdr:colOff>800100</xdr:colOff>
      <xdr:row>3</xdr:row>
      <xdr:rowOff>142875</xdr:rowOff>
    </xdr:from>
    <xdr:ext cx="4459449" cy="468013"/>
    <xdr:sp macro="" textlink="">
      <xdr:nvSpPr>
        <xdr:cNvPr id="3" name="Rectangle 2"/>
        <xdr:cNvSpPr/>
      </xdr:nvSpPr>
      <xdr:spPr>
        <a:xfrm>
          <a:off x="4638675" y="723900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5</xdr:col>
      <xdr:colOff>85725</xdr:colOff>
      <xdr:row>14</xdr:row>
      <xdr:rowOff>104775</xdr:rowOff>
    </xdr:from>
    <xdr:ext cx="4459449" cy="468013"/>
    <xdr:sp macro="" textlink="">
      <xdr:nvSpPr>
        <xdr:cNvPr id="4" name="Rectangle 3"/>
        <xdr:cNvSpPr/>
      </xdr:nvSpPr>
      <xdr:spPr>
        <a:xfrm>
          <a:off x="4733925" y="3314700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5</xdr:col>
      <xdr:colOff>104775</xdr:colOff>
      <xdr:row>15</xdr:row>
      <xdr:rowOff>95250</xdr:rowOff>
    </xdr:from>
    <xdr:ext cx="4459449" cy="264560"/>
    <xdr:sp macro="" textlink="">
      <xdr:nvSpPr>
        <xdr:cNvPr id="5" name="Rectangle 4"/>
        <xdr:cNvSpPr/>
      </xdr:nvSpPr>
      <xdr:spPr>
        <a:xfrm>
          <a:off x="4752975" y="3543300"/>
          <a:ext cx="4459449" cy="26456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/>
            <a:t>Vacances Annuelles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693236</xdr:colOff>
      <xdr:row>5</xdr:row>
      <xdr:rowOff>87019</xdr:rowOff>
    </xdr:from>
    <xdr:ext cx="937629" cy="2969211"/>
    <xdr:sp macro="" textlink="">
      <xdr:nvSpPr>
        <xdr:cNvPr id="2" name="Rectangle 1"/>
        <xdr:cNvSpPr/>
      </xdr:nvSpPr>
      <xdr:spPr>
        <a:xfrm rot="16200000">
          <a:off x="3516020" y="2169610"/>
          <a:ext cx="296921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Ste Marie</a:t>
          </a:r>
        </a:p>
      </xdr:txBody>
    </xdr:sp>
    <xdr:clientData/>
  </xdr:oneCellAnchor>
  <xdr:oneCellAnchor>
    <xdr:from>
      <xdr:col>4</xdr:col>
      <xdr:colOff>657225</xdr:colOff>
      <xdr:row>7</xdr:row>
      <xdr:rowOff>133350</xdr:rowOff>
    </xdr:from>
    <xdr:ext cx="4459449" cy="468013"/>
    <xdr:sp macro="" textlink="">
      <xdr:nvSpPr>
        <xdr:cNvPr id="3" name="Rectangle 2"/>
        <xdr:cNvSpPr/>
      </xdr:nvSpPr>
      <xdr:spPr>
        <a:xfrm>
          <a:off x="4495800" y="1676400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4</xdr:col>
      <xdr:colOff>676275</xdr:colOff>
      <xdr:row>11</xdr:row>
      <xdr:rowOff>123825</xdr:rowOff>
    </xdr:from>
    <xdr:ext cx="4459449" cy="468013"/>
    <xdr:sp macro="" textlink="">
      <xdr:nvSpPr>
        <xdr:cNvPr id="4" name="Rectangle 3"/>
        <xdr:cNvSpPr/>
      </xdr:nvSpPr>
      <xdr:spPr>
        <a:xfrm>
          <a:off x="4514850" y="2619375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590550</xdr:colOff>
      <xdr:row>13</xdr:row>
      <xdr:rowOff>114300</xdr:rowOff>
    </xdr:from>
    <xdr:ext cx="4459449" cy="468013"/>
    <xdr:sp macro="" textlink="">
      <xdr:nvSpPr>
        <xdr:cNvPr id="2" name="Rectangle 1"/>
        <xdr:cNvSpPr/>
      </xdr:nvSpPr>
      <xdr:spPr>
        <a:xfrm>
          <a:off x="3667125" y="3086100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428625</xdr:colOff>
      <xdr:row>10</xdr:row>
      <xdr:rowOff>19050</xdr:rowOff>
    </xdr:from>
    <xdr:ext cx="4459449" cy="468013"/>
    <xdr:sp macro="" textlink="">
      <xdr:nvSpPr>
        <xdr:cNvPr id="2" name="Rectangle 1"/>
        <xdr:cNvSpPr/>
      </xdr:nvSpPr>
      <xdr:spPr>
        <a:xfrm rot="19111199">
          <a:off x="7410450" y="2276475"/>
          <a:ext cx="4459449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2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419100</xdr:colOff>
      <xdr:row>12</xdr:row>
      <xdr:rowOff>219075</xdr:rowOff>
    </xdr:from>
    <xdr:ext cx="6334125" cy="937629"/>
    <xdr:sp macro="" textlink="">
      <xdr:nvSpPr>
        <xdr:cNvPr id="2" name="Rectangle 1"/>
        <xdr:cNvSpPr/>
      </xdr:nvSpPr>
      <xdr:spPr>
        <a:xfrm>
          <a:off x="3495675" y="2952750"/>
          <a:ext cx="6334125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5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5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11</xdr:row>
      <xdr:rowOff>0</xdr:rowOff>
    </xdr:from>
    <xdr:ext cx="6334125" cy="937629"/>
    <xdr:sp macro="" textlink="">
      <xdr:nvSpPr>
        <xdr:cNvPr id="2" name="Rectangle 1"/>
        <xdr:cNvSpPr/>
      </xdr:nvSpPr>
      <xdr:spPr>
        <a:xfrm>
          <a:off x="3838575" y="2495550"/>
          <a:ext cx="6334125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Vacances</a:t>
          </a:r>
          <a:r>
            <a:rPr lang="fr-FR" sz="5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Annuelles</a:t>
          </a:r>
          <a:endParaRPr lang="fr-FR" sz="5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740863</xdr:colOff>
      <xdr:row>6</xdr:row>
      <xdr:rowOff>59756</xdr:rowOff>
    </xdr:from>
    <xdr:ext cx="937629" cy="2947538"/>
    <xdr:sp macro="" textlink="">
      <xdr:nvSpPr>
        <xdr:cNvPr id="2" name="Rectangle 1"/>
        <xdr:cNvSpPr/>
      </xdr:nvSpPr>
      <xdr:spPr>
        <a:xfrm rot="16200000">
          <a:off x="5146109" y="2369635"/>
          <a:ext cx="294753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5400" b="1" cap="none" spc="0">
              <a:ln/>
              <a:solidFill>
                <a:schemeClr val="accent3"/>
              </a:solidFill>
              <a:effectLst/>
            </a:rPr>
            <a:t>Toussaint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520595</xdr:colOff>
      <xdr:row>15</xdr:row>
      <xdr:rowOff>74110</xdr:rowOff>
    </xdr:from>
    <xdr:ext cx="1111458" cy="530658"/>
    <xdr:sp macro="" textlink="">
      <xdr:nvSpPr>
        <xdr:cNvPr id="2" name="Rectangle 1"/>
        <xdr:cNvSpPr/>
      </xdr:nvSpPr>
      <xdr:spPr>
        <a:xfrm>
          <a:off x="5930795" y="3522160"/>
          <a:ext cx="1111458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Congé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10</xdr:row>
      <xdr:rowOff>76201</xdr:rowOff>
    </xdr:from>
    <xdr:to>
      <xdr:col>4</xdr:col>
      <xdr:colOff>714776</xdr:colOff>
      <xdr:row>15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0" y="2333626"/>
          <a:ext cx="1391051" cy="1171574"/>
        </a:xfrm>
        <a:prstGeom prst="rect">
          <a:avLst/>
        </a:prstGeom>
      </xdr:spPr>
    </xdr:pic>
    <xdr:clientData/>
  </xdr:twoCellAnchor>
  <xdr:oneCellAnchor>
    <xdr:from>
      <xdr:col>1</xdr:col>
      <xdr:colOff>141502</xdr:colOff>
      <xdr:row>4</xdr:row>
      <xdr:rowOff>39841</xdr:rowOff>
    </xdr:from>
    <xdr:ext cx="593304" cy="4354845"/>
    <xdr:sp macro="" textlink="">
      <xdr:nvSpPr>
        <xdr:cNvPr id="3" name="Rectangle 2"/>
        <xdr:cNvSpPr/>
      </xdr:nvSpPr>
      <xdr:spPr>
        <a:xfrm rot="16200000">
          <a:off x="-224794" y="2749287"/>
          <a:ext cx="4354845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Inscrits sur SEM51 (Noël)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638176</xdr:colOff>
      <xdr:row>9</xdr:row>
      <xdr:rowOff>85725</xdr:rowOff>
    </xdr:from>
    <xdr:to>
      <xdr:col>4</xdr:col>
      <xdr:colOff>723902</xdr:colOff>
      <xdr:row>20</xdr:row>
      <xdr:rowOff>95250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xmlns="" id="{D94965CC-7117-4C95-B426-8652AA971C9F}"/>
            </a:ext>
          </a:extLst>
        </xdr:cNvPr>
        <xdr:cNvCxnSpPr/>
      </xdr:nvCxnSpPr>
      <xdr:spPr>
        <a:xfrm rot="10800000">
          <a:off x="1476376" y="1809750"/>
          <a:ext cx="2209801" cy="2114550"/>
        </a:xfrm>
        <a:prstGeom prst="bentConnector3">
          <a:avLst/>
        </a:prstGeom>
        <a:ln w="158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18</xdr:row>
      <xdr:rowOff>0</xdr:rowOff>
    </xdr:from>
    <xdr:to>
      <xdr:col>2</xdr:col>
      <xdr:colOff>819150</xdr:colOff>
      <xdr:row>31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4095750"/>
          <a:ext cx="2381250" cy="3171825"/>
        </a:xfrm>
        <a:prstGeom prst="rect">
          <a:avLst/>
        </a:prstGeom>
      </xdr:spPr>
    </xdr:pic>
    <xdr:clientData/>
  </xdr:twoCellAnchor>
  <xdr:oneCellAnchor>
    <xdr:from>
      <xdr:col>3</xdr:col>
      <xdr:colOff>63880</xdr:colOff>
      <xdr:row>21</xdr:row>
      <xdr:rowOff>140785</xdr:rowOff>
    </xdr:from>
    <xdr:ext cx="939040" cy="937629"/>
    <xdr:sp macro="" textlink="">
      <xdr:nvSpPr>
        <xdr:cNvPr id="3" name="Rectangle 2"/>
        <xdr:cNvSpPr/>
      </xdr:nvSpPr>
      <xdr:spPr>
        <a:xfrm>
          <a:off x="3330955" y="5189035"/>
          <a:ext cx="93904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5400" b="1" cap="none" spc="0">
              <a:ln/>
              <a:solidFill>
                <a:schemeClr val="accent4"/>
              </a:solidFill>
              <a:effectLst/>
            </a:rPr>
            <a:t>J - 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urent/ComptesLaurent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001"/>
      <sheetName val="Sem002"/>
      <sheetName val="Sem003"/>
      <sheetName val="Sem004"/>
      <sheetName val="Sem005"/>
      <sheetName val="Sem006"/>
      <sheetName val="Sem007"/>
      <sheetName val="Sem008"/>
      <sheetName val="Sem009"/>
      <sheetName val="Sem010"/>
      <sheetName val="Sem011"/>
      <sheetName val="Sem012"/>
      <sheetName val="Sem013"/>
      <sheetName val="Sem014"/>
      <sheetName val="Sem015"/>
      <sheetName val="Sem016"/>
      <sheetName val="Sem017"/>
      <sheetName val="Sem018"/>
      <sheetName val="Sem019"/>
      <sheetName val="Sem020"/>
      <sheetName val="Sem021"/>
      <sheetName val="Sem022"/>
      <sheetName val="Sem023"/>
      <sheetName val="Sem024"/>
      <sheetName val="Sem025"/>
      <sheetName val="Sem026"/>
      <sheetName val="Sem027"/>
      <sheetName val="Sem028"/>
      <sheetName val="Sem029"/>
      <sheetName val="Sem030"/>
      <sheetName val="Sem031"/>
      <sheetName val="Sem032"/>
      <sheetName val="Sem033"/>
      <sheetName val="Sem034"/>
      <sheetName val="Sem035"/>
      <sheetName val="Sem036"/>
      <sheetName val="Sem037"/>
      <sheetName val="Sem038"/>
      <sheetName val="Sem039"/>
      <sheetName val="Sem040"/>
      <sheetName val="Sem041"/>
      <sheetName val="Sem042"/>
      <sheetName val="Sem043"/>
      <sheetName val="Sem044"/>
      <sheetName val="Sem045"/>
      <sheetName val="Sem046"/>
      <sheetName val="Sem047"/>
      <sheetName val="Sem048"/>
      <sheetName val="Sem049"/>
      <sheetName val="Sem050"/>
      <sheetName val="Sem051"/>
      <sheetName val="Sem052"/>
      <sheetName val="Totaux"/>
      <sheetName val="Classement"/>
      <sheetName val="Totaux Annuels"/>
      <sheetName val="Situation Semaine"/>
      <sheetName val="Feuil1"/>
    </sheetNames>
    <sheetDataSet>
      <sheetData sheetId="0"/>
      <sheetData sheetId="1"/>
      <sheetData sheetId="2"/>
      <sheetData sheetId="3"/>
      <sheetData sheetId="4"/>
      <sheetData sheetId="5">
        <row r="39">
          <cell r="F39">
            <v>13670.99</v>
          </cell>
        </row>
        <row r="40">
          <cell r="F40">
            <v>19140.409599999999</v>
          </cell>
        </row>
      </sheetData>
      <sheetData sheetId="6">
        <row r="39">
          <cell r="F39">
            <v>14973.7</v>
          </cell>
        </row>
        <row r="40">
          <cell r="F40">
            <v>3597.1420000000003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59999389629810485"/>
    <pageSetUpPr fitToPage="1"/>
  </sheetPr>
  <dimension ref="A1:P58"/>
  <sheetViews>
    <sheetView topLeftCell="A22" workbookViewId="0">
      <selection activeCell="B48" sqref="B48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1" t="s">
        <v>8</v>
      </c>
      <c r="C2" s="1" t="s">
        <v>9</v>
      </c>
      <c r="D2" s="1" t="s">
        <v>8</v>
      </c>
      <c r="E2" s="1" t="s">
        <v>9</v>
      </c>
      <c r="F2" s="1" t="s">
        <v>8</v>
      </c>
      <c r="G2" s="1" t="s">
        <v>9</v>
      </c>
      <c r="H2" s="1" t="s">
        <v>8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>
        <v>244</v>
      </c>
      <c r="I4" s="12">
        <v>3737.18</v>
      </c>
      <c r="J4" s="12"/>
      <c r="K4" s="12"/>
      <c r="L4" s="12"/>
      <c r="M4" s="12"/>
      <c r="N4" s="12"/>
      <c r="O4" s="12">
        <f>B4+D4+F4+H4+J4+L4+N4</f>
        <v>244</v>
      </c>
      <c r="P4" s="12">
        <f>C4+E4+G4+I4+K4+M4</f>
        <v>3737.18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105</v>
      </c>
      <c r="I5" s="14"/>
      <c r="J5" s="14"/>
      <c r="K5" s="14"/>
      <c r="L5" s="14"/>
      <c r="M5" s="14"/>
      <c r="N5" s="14"/>
      <c r="O5" s="12">
        <f t="shared" ref="O5:O23" si="0">B5+D5+F5+H5+J5+L5+N5</f>
        <v>105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428.5</v>
      </c>
      <c r="I6" s="14">
        <v>747.72</v>
      </c>
      <c r="J6" s="14"/>
      <c r="K6" s="14"/>
      <c r="L6" s="14"/>
      <c r="M6" s="14"/>
      <c r="N6" s="14"/>
      <c r="O6" s="12">
        <f t="shared" si="0"/>
        <v>428.5</v>
      </c>
      <c r="P6" s="12">
        <f t="shared" si="1"/>
        <v>747.72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404.85</v>
      </c>
      <c r="K7" s="14">
        <v>1321.85</v>
      </c>
      <c r="L7" s="14"/>
      <c r="M7" s="14"/>
      <c r="N7" s="14"/>
      <c r="O7" s="12">
        <f t="shared" si="0"/>
        <v>404.85</v>
      </c>
      <c r="P7" s="12">
        <f t="shared" si="1"/>
        <v>1321.85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245.7</v>
      </c>
      <c r="I9" s="14">
        <v>260.44</v>
      </c>
      <c r="J9" s="14"/>
      <c r="K9" s="14"/>
      <c r="L9" s="14"/>
      <c r="M9" s="14"/>
      <c r="N9" s="14"/>
      <c r="O9" s="12">
        <f t="shared" si="0"/>
        <v>245.7</v>
      </c>
      <c r="P9" s="12">
        <f t="shared" si="1"/>
        <v>260.44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221.25</v>
      </c>
      <c r="K13" s="14"/>
      <c r="L13" s="14"/>
      <c r="M13" s="14"/>
      <c r="N13" s="14"/>
      <c r="O13" s="12">
        <f t="shared" si="0"/>
        <v>221.25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88</v>
      </c>
      <c r="K14" s="14">
        <v>82.68</v>
      </c>
      <c r="L14" s="14"/>
      <c r="M14" s="14"/>
      <c r="N14" s="14"/>
      <c r="O14" s="12">
        <f t="shared" si="0"/>
        <v>88</v>
      </c>
      <c r="P14" s="12">
        <f t="shared" si="1"/>
        <v>82.68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71.7</v>
      </c>
      <c r="I15" s="14">
        <v>486.69</v>
      </c>
      <c r="J15" s="14"/>
      <c r="K15" s="14"/>
      <c r="L15" s="14"/>
      <c r="M15" s="14"/>
      <c r="N15" s="14"/>
      <c r="O15" s="12">
        <f t="shared" si="0"/>
        <v>71.7</v>
      </c>
      <c r="P15" s="12">
        <f t="shared" si="1"/>
        <v>486.69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>
        <v>113.4</v>
      </c>
      <c r="I16" s="14">
        <v>535.92999999999995</v>
      </c>
      <c r="J16" s="14"/>
      <c r="K16" s="14"/>
      <c r="L16" s="14"/>
      <c r="M16" s="14"/>
      <c r="N16" s="14"/>
      <c r="O16" s="12">
        <f t="shared" si="0"/>
        <v>113.4</v>
      </c>
      <c r="P16" s="12">
        <f t="shared" si="1"/>
        <v>535.92999999999995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>
        <v>149.69999999999999</v>
      </c>
      <c r="I17" s="14">
        <v>532.65</v>
      </c>
      <c r="J17" s="14"/>
      <c r="K17" s="14"/>
      <c r="L17" s="14"/>
      <c r="M17" s="14"/>
      <c r="N17" s="14"/>
      <c r="O17" s="12">
        <f t="shared" si="0"/>
        <v>149.69999999999999</v>
      </c>
      <c r="P17" s="12">
        <f t="shared" si="1"/>
        <v>532.65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>
        <v>256.35000000000002</v>
      </c>
      <c r="K18" s="14"/>
      <c r="L18" s="14"/>
      <c r="M18" s="14"/>
      <c r="N18" s="14"/>
      <c r="O18" s="12">
        <f t="shared" si="0"/>
        <v>256.35000000000002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87.5</v>
      </c>
      <c r="I23" s="17">
        <v>87.5</v>
      </c>
      <c r="J23" s="17">
        <v>71</v>
      </c>
      <c r="K23" s="17">
        <v>71</v>
      </c>
      <c r="L23" s="17"/>
      <c r="M23" s="17"/>
      <c r="N23" s="17"/>
      <c r="O23" s="49">
        <f t="shared" si="0"/>
        <v>158.5</v>
      </c>
      <c r="P23" s="49">
        <f t="shared" si="1"/>
        <v>158.5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1445.5000000000002</v>
      </c>
      <c r="I24" s="21">
        <f t="shared" si="2"/>
        <v>6388.1099999999988</v>
      </c>
      <c r="J24" s="21">
        <f t="shared" si="2"/>
        <v>1041.45</v>
      </c>
      <c r="K24" s="21">
        <f t="shared" si="2"/>
        <v>1475.53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2486.9499999999998</v>
      </c>
      <c r="P24" s="50">
        <f t="shared" si="2"/>
        <v>7863.6399999999994</v>
      </c>
    </row>
    <row r="25" spans="1:16" ht="15.75" thickBot="1" x14ac:dyDescent="0.3">
      <c r="N25" t="s">
        <v>55</v>
      </c>
      <c r="O25" s="50">
        <f>SUM(B24+D24+F24+H24+J24+L24+N24)</f>
        <v>2486.9500000000003</v>
      </c>
      <c r="P25" s="50">
        <f>SUM(C24+E24+G24+I24+K24+M24)</f>
        <v>7863.6399999999985</v>
      </c>
    </row>
    <row r="26" spans="1:16" ht="15.75" thickBot="1" x14ac:dyDescent="0.3">
      <c r="A26" t="s">
        <v>27</v>
      </c>
      <c r="B26" s="22">
        <f>O24</f>
        <v>2486.9499999999998</v>
      </c>
      <c r="D26" s="5" t="s">
        <v>30</v>
      </c>
      <c r="E26" s="47">
        <f>B50*1.5</f>
        <v>2686.4963999999995</v>
      </c>
    </row>
    <row r="27" spans="1:16" x14ac:dyDescent="0.25">
      <c r="A27" t="s">
        <v>28</v>
      </c>
      <c r="B27" s="22">
        <f>P24</f>
        <v>7863.6399999999994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2486.9499999999998</v>
      </c>
      <c r="H32" s="37"/>
      <c r="I32" s="26" t="s">
        <v>50</v>
      </c>
      <c r="J32" s="44">
        <f>F32</f>
        <v>2486.9499999999998</v>
      </c>
      <c r="L32" s="37"/>
      <c r="M32" s="27" t="s">
        <v>50</v>
      </c>
      <c r="N32" s="45">
        <f>J32</f>
        <v>2486.9499999999998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1790.9975999999997</v>
      </c>
      <c r="H33" s="37"/>
      <c r="I33" s="26" t="s">
        <v>51</v>
      </c>
      <c r="J33" s="44">
        <f>F33</f>
        <v>1790.9975999999997</v>
      </c>
      <c r="L33" s="37"/>
      <c r="M33" s="27" t="s">
        <v>51</v>
      </c>
      <c r="N33" s="45">
        <f>J33</f>
        <v>1790.9975999999997</v>
      </c>
    </row>
    <row r="34" spans="1:14" x14ac:dyDescent="0.25">
      <c r="A34" t="s">
        <v>34</v>
      </c>
      <c r="B34" s="29">
        <f>IF(C34="","",(C34*1.16)+3.75+10)</f>
        <v>1790.9975999999997</v>
      </c>
      <c r="C34" s="35">
        <v>1532.11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695.95240000000013</v>
      </c>
      <c r="H35" s="37"/>
      <c r="I35" s="26" t="s">
        <v>52</v>
      </c>
      <c r="J35" s="44">
        <f>F35</f>
        <v>695.95240000000013</v>
      </c>
      <c r="L35" s="37"/>
      <c r="M35" s="27" t="s">
        <v>52</v>
      </c>
      <c r="N35" s="45">
        <f>J35</f>
        <v>695.95240000000013</v>
      </c>
    </row>
    <row r="36" spans="1:14" x14ac:dyDescent="0.25">
      <c r="A36" t="s">
        <v>36</v>
      </c>
      <c r="B36" s="31"/>
      <c r="D36" s="37"/>
      <c r="E36" s="25" t="s">
        <v>53</v>
      </c>
      <c r="F36" s="43">
        <f>(F32-F33)/F33</f>
        <v>0.3885836586269017</v>
      </c>
      <c r="H36" s="37"/>
      <c r="I36" s="26" t="s">
        <v>53</v>
      </c>
      <c r="J36" s="52">
        <f>(J32-J33)/J33</f>
        <v>0.3885836586269017</v>
      </c>
      <c r="L36" s="37"/>
      <c r="M36" s="27" t="s">
        <v>53</v>
      </c>
      <c r="N36" s="53">
        <f>(N32-N33)/N33</f>
        <v>0.3885836586269017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1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>
        <v>1586.73</v>
      </c>
      <c r="H48" s="37"/>
      <c r="I48" s="38" t="s">
        <v>61</v>
      </c>
      <c r="J48" s="38"/>
      <c r="K48" s="39">
        <f>F32</f>
        <v>2486.9499999999998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1790.9975999999997</v>
      </c>
      <c r="D50" s="37"/>
      <c r="G50" s="40"/>
      <c r="H50" s="37"/>
      <c r="I50" t="s">
        <v>62</v>
      </c>
      <c r="J50" s="21">
        <v>2107.1999999999998</v>
      </c>
      <c r="K50" s="41">
        <f>J50/K48</f>
        <v>0.84730292124891937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379.75</v>
      </c>
      <c r="K51" s="41">
        <f>J51/K48</f>
        <v>0.15269707875108066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1586.73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  <pageSetUpPr fitToPage="1"/>
  </sheetPr>
  <dimension ref="A1:Q58"/>
  <sheetViews>
    <sheetView topLeftCell="A13" workbookViewId="0">
      <selection activeCell="B50" sqref="B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7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  <c r="Q1" s="56" t="s">
        <v>127</v>
      </c>
    </row>
    <row r="2" spans="1:17" ht="15.75" thickBot="1" x14ac:dyDescent="0.3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  <c r="Q2" s="57">
        <f>_xlfn.ISOWEEKNUM(B3)</f>
        <v>2</v>
      </c>
    </row>
    <row r="3" spans="1:17" ht="15.75" thickBot="1" x14ac:dyDescent="0.3">
      <c r="B3" s="9">
        <v>43108</v>
      </c>
      <c r="C3" s="10"/>
      <c r="D3" s="9">
        <v>43109</v>
      </c>
      <c r="E3" s="10"/>
      <c r="F3" s="9">
        <v>43110</v>
      </c>
      <c r="G3" s="10"/>
      <c r="H3" s="9">
        <v>43111</v>
      </c>
      <c r="I3" s="10"/>
      <c r="J3" s="9">
        <v>43112</v>
      </c>
      <c r="K3" s="10"/>
      <c r="L3" s="9">
        <v>43113</v>
      </c>
      <c r="M3" s="10"/>
      <c r="N3" s="9">
        <v>43114</v>
      </c>
      <c r="O3" s="10"/>
      <c r="P3" s="10"/>
    </row>
    <row r="4" spans="1:17" ht="19.5" thickTop="1" x14ac:dyDescent="0.3">
      <c r="A4" s="18" t="s">
        <v>10</v>
      </c>
      <c r="B4" s="11"/>
      <c r="C4" s="12"/>
      <c r="D4" s="12">
        <v>352.2</v>
      </c>
      <c r="E4" s="12"/>
      <c r="F4" s="12"/>
      <c r="G4" s="12"/>
      <c r="H4" s="12">
        <f>478.2-352.2</f>
        <v>126</v>
      </c>
      <c r="I4" s="12">
        <v>506.89</v>
      </c>
      <c r="J4" s="12"/>
      <c r="K4" s="12"/>
      <c r="L4" s="12"/>
      <c r="M4" s="12"/>
      <c r="N4" s="12"/>
      <c r="O4" s="12">
        <f>B4+D4+F4+H4+J4+L4+N4</f>
        <v>478.2</v>
      </c>
      <c r="P4" s="12">
        <f>C4+E4+G4+I4+K4+M4</f>
        <v>506.89</v>
      </c>
    </row>
    <row r="5" spans="1:17" ht="18.75" x14ac:dyDescent="0.3">
      <c r="A5" s="18" t="s">
        <v>11</v>
      </c>
      <c r="B5" s="13"/>
      <c r="C5" s="14"/>
      <c r="D5" s="14">
        <v>106.7</v>
      </c>
      <c r="E5" s="14"/>
      <c r="F5" s="14"/>
      <c r="G5" s="14"/>
      <c r="H5" s="14">
        <v>119.5</v>
      </c>
      <c r="I5" s="14"/>
      <c r="J5" s="14"/>
      <c r="K5" s="14"/>
      <c r="L5" s="14"/>
      <c r="M5" s="14"/>
      <c r="N5" s="14"/>
      <c r="O5" s="12">
        <f t="shared" ref="O5:O23" si="0">B5+D5+F5+H5+J5+L5+N5</f>
        <v>226.2</v>
      </c>
      <c r="P5" s="12">
        <f t="shared" ref="P5:P23" si="1">C5+E5+G5+I5+K5+M5</f>
        <v>0</v>
      </c>
    </row>
    <row r="6" spans="1:17" ht="18.75" x14ac:dyDescent="0.3">
      <c r="A6" s="18" t="s">
        <v>12</v>
      </c>
      <c r="B6" s="13"/>
      <c r="C6" s="14"/>
      <c r="D6" s="14">
        <v>335.25</v>
      </c>
      <c r="E6" s="14">
        <v>1000</v>
      </c>
      <c r="F6" s="14"/>
      <c r="G6" s="14"/>
      <c r="H6" s="14">
        <v>160</v>
      </c>
      <c r="I6" s="14">
        <v>198.58</v>
      </c>
      <c r="J6" s="14"/>
      <c r="K6" s="14"/>
      <c r="L6" s="14"/>
      <c r="M6" s="14"/>
      <c r="N6" s="14"/>
      <c r="O6" s="12">
        <f t="shared" si="0"/>
        <v>495.25</v>
      </c>
      <c r="P6" s="12">
        <f t="shared" si="1"/>
        <v>1198.58</v>
      </c>
    </row>
    <row r="7" spans="1:17" ht="18.75" x14ac:dyDescent="0.3">
      <c r="A7" s="18" t="s">
        <v>13</v>
      </c>
      <c r="B7" s="13"/>
      <c r="C7" s="14"/>
      <c r="D7" s="14"/>
      <c r="E7" s="14"/>
      <c r="F7" s="14">
        <v>241.7</v>
      </c>
      <c r="G7" s="14"/>
      <c r="H7" s="14"/>
      <c r="I7" s="14"/>
      <c r="J7" s="14"/>
      <c r="K7" s="14"/>
      <c r="L7" s="14"/>
      <c r="M7" s="14"/>
      <c r="N7" s="14"/>
      <c r="O7" s="12">
        <f t="shared" si="0"/>
        <v>241.7</v>
      </c>
      <c r="P7" s="12">
        <f t="shared" si="1"/>
        <v>0</v>
      </c>
    </row>
    <row r="8" spans="1:17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7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299</v>
      </c>
      <c r="I9" s="14">
        <v>316.94</v>
      </c>
      <c r="J9" s="14"/>
      <c r="K9" s="14"/>
      <c r="L9" s="14"/>
      <c r="M9" s="14"/>
      <c r="N9" s="14"/>
      <c r="O9" s="12">
        <f t="shared" si="0"/>
        <v>299</v>
      </c>
      <c r="P9" s="12">
        <f t="shared" si="1"/>
        <v>316.94</v>
      </c>
    </row>
    <row r="10" spans="1:17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7" ht="18.75" x14ac:dyDescent="0.3">
      <c r="A11" s="19" t="s">
        <v>17</v>
      </c>
      <c r="B11" s="13"/>
      <c r="C11" s="14"/>
      <c r="D11" s="14">
        <v>189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189</v>
      </c>
      <c r="P11" s="12">
        <f t="shared" si="1"/>
        <v>0</v>
      </c>
    </row>
    <row r="12" spans="1:17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7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458.65</v>
      </c>
      <c r="K13" s="14"/>
      <c r="L13" s="14"/>
      <c r="M13" s="14"/>
      <c r="N13" s="14"/>
      <c r="O13" s="12">
        <f t="shared" si="0"/>
        <v>458.65</v>
      </c>
      <c r="P13" s="12">
        <f t="shared" si="1"/>
        <v>0</v>
      </c>
    </row>
    <row r="14" spans="1:17" ht="18.75" x14ac:dyDescent="0.3">
      <c r="A14" s="19" t="s">
        <v>20</v>
      </c>
      <c r="B14" s="13"/>
      <c r="C14" s="14"/>
      <c r="D14" s="14"/>
      <c r="E14" s="14"/>
      <c r="F14" s="14">
        <v>84.5</v>
      </c>
      <c r="G14" s="14"/>
      <c r="H14" s="14"/>
      <c r="I14" s="14"/>
      <c r="J14" s="14">
        <f>168.8-84.5</f>
        <v>84.300000000000011</v>
      </c>
      <c r="K14" s="14">
        <v>178.93</v>
      </c>
      <c r="L14" s="14"/>
      <c r="M14" s="14"/>
      <c r="N14" s="14"/>
      <c r="O14" s="12">
        <f t="shared" si="0"/>
        <v>168.8</v>
      </c>
      <c r="P14" s="12">
        <f t="shared" si="1"/>
        <v>178.93</v>
      </c>
    </row>
    <row r="15" spans="1:17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210</v>
      </c>
      <c r="I15" s="14">
        <v>76</v>
      </c>
      <c r="J15" s="14"/>
      <c r="K15" s="14"/>
      <c r="L15" s="14"/>
      <c r="M15" s="14"/>
      <c r="N15" s="14"/>
      <c r="O15" s="12">
        <f t="shared" si="0"/>
        <v>210</v>
      </c>
      <c r="P15" s="12">
        <f t="shared" si="1"/>
        <v>76</v>
      </c>
    </row>
    <row r="16" spans="1:17" ht="18.75" x14ac:dyDescent="0.3">
      <c r="A16" s="19" t="s">
        <v>22</v>
      </c>
      <c r="B16" s="13"/>
      <c r="C16" s="14"/>
      <c r="D16" s="14">
        <v>56.5</v>
      </c>
      <c r="E16" s="14">
        <f>120.2+132.68</f>
        <v>252.88</v>
      </c>
      <c r="F16" s="14"/>
      <c r="G16" s="14"/>
      <c r="H16" s="14">
        <v>108.2</v>
      </c>
      <c r="I16" s="14"/>
      <c r="J16" s="14"/>
      <c r="K16" s="14"/>
      <c r="L16" s="14"/>
      <c r="M16" s="14"/>
      <c r="N16" s="14"/>
      <c r="O16" s="12">
        <f t="shared" si="0"/>
        <v>164.7</v>
      </c>
      <c r="P16" s="12">
        <f t="shared" si="1"/>
        <v>252.88</v>
      </c>
    </row>
    <row r="17" spans="1:16" ht="18.75" x14ac:dyDescent="0.3">
      <c r="A17" s="18" t="s">
        <v>23</v>
      </c>
      <c r="B17" s="13"/>
      <c r="C17" s="14"/>
      <c r="D17" s="14">
        <v>32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32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f>153.95+25.15</f>
        <v>179.1</v>
      </c>
      <c r="G18" s="14">
        <v>281.5</v>
      </c>
      <c r="H18" s="14"/>
      <c r="I18" s="14"/>
      <c r="J18" s="14">
        <f>244.85-153.95</f>
        <v>90.9</v>
      </c>
      <c r="K18" s="14"/>
      <c r="L18" s="14"/>
      <c r="M18" s="14"/>
      <c r="N18" s="14"/>
      <c r="O18" s="12">
        <f t="shared" si="0"/>
        <v>270</v>
      </c>
      <c r="P18" s="12">
        <f t="shared" si="1"/>
        <v>281.5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25</v>
      </c>
      <c r="G23" s="17">
        <v>25</v>
      </c>
      <c r="H23" s="17">
        <v>59</v>
      </c>
      <c r="I23" s="17">
        <v>59</v>
      </c>
      <c r="J23" s="17">
        <v>50</v>
      </c>
      <c r="K23" s="17">
        <v>50</v>
      </c>
      <c r="L23" s="17"/>
      <c r="M23" s="17"/>
      <c r="N23" s="17"/>
      <c r="O23" s="49">
        <f t="shared" si="0"/>
        <v>134</v>
      </c>
      <c r="P23" s="49">
        <f t="shared" si="1"/>
        <v>134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1071.6500000000001</v>
      </c>
      <c r="E24" s="21">
        <f t="shared" si="2"/>
        <v>1252.8800000000001</v>
      </c>
      <c r="F24" s="21">
        <f t="shared" si="2"/>
        <v>530.29999999999995</v>
      </c>
      <c r="G24" s="21">
        <f t="shared" si="2"/>
        <v>306.5</v>
      </c>
      <c r="H24" s="21">
        <f t="shared" si="2"/>
        <v>1081.7</v>
      </c>
      <c r="I24" s="21">
        <f t="shared" si="2"/>
        <v>1157.4100000000001</v>
      </c>
      <c r="J24" s="21">
        <f t="shared" si="2"/>
        <v>683.85</v>
      </c>
      <c r="K24" s="21">
        <f t="shared" si="2"/>
        <v>228.93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3367.5</v>
      </c>
      <c r="P24" s="50">
        <f t="shared" si="2"/>
        <v>2945.72</v>
      </c>
    </row>
    <row r="25" spans="1:16" ht="15.75" thickBot="1" x14ac:dyDescent="0.3">
      <c r="N25" t="s">
        <v>55</v>
      </c>
      <c r="O25" s="50">
        <f>SUM(B24+D24+F24+H24+J24+L24+N24)</f>
        <v>3367.5</v>
      </c>
      <c r="P25" s="50">
        <f>SUM(C24+E24+G24+I24+K24+M24)</f>
        <v>2945.72</v>
      </c>
    </row>
    <row r="26" spans="1:16" ht="15.75" thickBot="1" x14ac:dyDescent="0.3">
      <c r="A26" t="s">
        <v>27</v>
      </c>
      <c r="B26" s="22">
        <f>O24</f>
        <v>3367.5</v>
      </c>
      <c r="D26" s="5" t="s">
        <v>30</v>
      </c>
      <c r="E26" s="47">
        <f>B50*1.5</f>
        <v>4353.3024000000005</v>
      </c>
    </row>
    <row r="27" spans="1:16" x14ac:dyDescent="0.25">
      <c r="A27" t="s">
        <v>28</v>
      </c>
      <c r="B27" s="22">
        <f>P24</f>
        <v>2945.72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3367.5</v>
      </c>
      <c r="H32" s="37"/>
      <c r="I32" s="26" t="s">
        <v>50</v>
      </c>
      <c r="J32" s="44">
        <f>'Sem01'!J32+'Sem 02'!F32</f>
        <v>5854.45</v>
      </c>
      <c r="L32" s="37"/>
      <c r="M32" s="27" t="s">
        <v>50</v>
      </c>
      <c r="N32" s="45">
        <f>'Sem01'!N32+'Sem 02'!F32</f>
        <v>5854.45</v>
      </c>
    </row>
    <row r="33" spans="1:14" x14ac:dyDescent="0.25">
      <c r="A33" t="s">
        <v>33</v>
      </c>
      <c r="B33" s="28">
        <f>IF(C33="","",(C33*1.16)+3.75+10)</f>
        <v>1332.5308</v>
      </c>
      <c r="C33" s="34">
        <v>1136.8800000000001</v>
      </c>
      <c r="D33" s="37"/>
      <c r="E33" s="25" t="s">
        <v>51</v>
      </c>
      <c r="F33" s="42">
        <f>B50</f>
        <v>2902.2016000000003</v>
      </c>
      <c r="H33" s="37"/>
      <c r="I33" s="26" t="s">
        <v>51</v>
      </c>
      <c r="J33" s="44">
        <f>'Sem01'!J33+'Sem 02'!F33</f>
        <v>4693.1992</v>
      </c>
      <c r="L33" s="37"/>
      <c r="M33" s="27" t="s">
        <v>51</v>
      </c>
      <c r="N33" s="45">
        <f>'Sem01'!N33+'Sem 02'!F33</f>
        <v>4693.1992</v>
      </c>
    </row>
    <row r="34" spans="1:14" x14ac:dyDescent="0.25">
      <c r="A34" t="s">
        <v>34</v>
      </c>
      <c r="B34" s="29">
        <f>IF(C34="","",(C34*1.16)+3.75+10)</f>
        <v>719.47079999999994</v>
      </c>
      <c r="C34" s="35">
        <v>608.38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465.29839999999967</v>
      </c>
      <c r="H35" s="37"/>
      <c r="I35" s="26" t="s">
        <v>52</v>
      </c>
      <c r="J35" s="44">
        <f>'Sem01'!J35+'Sem 02'!F35</f>
        <v>1161.2507999999998</v>
      </c>
      <c r="L35" s="37"/>
      <c r="M35" s="27" t="s">
        <v>52</v>
      </c>
      <c r="N35" s="45">
        <f>'Sem01'!N35+'Sem 02'!F35</f>
        <v>1161.2507999999998</v>
      </c>
    </row>
    <row r="36" spans="1:14" x14ac:dyDescent="0.25">
      <c r="A36" t="s">
        <v>36</v>
      </c>
      <c r="B36" s="31">
        <v>850.2</v>
      </c>
      <c r="D36" s="37"/>
      <c r="E36" s="25" t="s">
        <v>53</v>
      </c>
      <c r="F36" s="43">
        <f>(F32-F33)/F33</f>
        <v>0.16032600905464309</v>
      </c>
      <c r="H36" s="37"/>
      <c r="I36" s="26" t="s">
        <v>53</v>
      </c>
      <c r="J36" s="52">
        <f>(J32-J33)/J33</f>
        <v>0.24743266810409406</v>
      </c>
      <c r="L36" s="37"/>
      <c r="M36" s="27" t="s">
        <v>53</v>
      </c>
      <c r="N36" s="53">
        <f>(N32-N33)/N33</f>
        <v>0.24743266810409406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 t="s">
        <v>130</v>
      </c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>
        <v>862.03</v>
      </c>
      <c r="H48" s="37"/>
      <c r="I48" s="38" t="s">
        <v>61</v>
      </c>
      <c r="J48" s="38"/>
      <c r="K48" s="39">
        <f>F32</f>
        <v>3367.5</v>
      </c>
      <c r="L48" s="37"/>
    </row>
    <row r="49" spans="1:12" ht="15.75" thickBot="1" x14ac:dyDescent="0.3">
      <c r="B49" s="21"/>
      <c r="D49" s="37"/>
      <c r="G49" s="40">
        <v>543.13</v>
      </c>
      <c r="H49" s="37"/>
      <c r="L49" s="37"/>
    </row>
    <row r="50" spans="1:12" ht="15.75" thickBot="1" x14ac:dyDescent="0.3">
      <c r="A50" t="s">
        <v>42</v>
      </c>
      <c r="B50" s="33">
        <f>SUM(B33:B48)</f>
        <v>2902.2016000000003</v>
      </c>
      <c r="D50" s="37"/>
      <c r="G50" s="40"/>
      <c r="H50" s="37"/>
      <c r="I50" t="s">
        <v>62</v>
      </c>
      <c r="J50">
        <v>3201.5</v>
      </c>
      <c r="K50" s="41">
        <f>J50/K48</f>
        <v>0.95070527097253155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166</v>
      </c>
      <c r="K51" s="41">
        <f>J51/K48</f>
        <v>4.9294729027468447E-2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1405.1599999999999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59999389629810485"/>
    <pageSetUpPr fitToPage="1"/>
  </sheetPr>
  <dimension ref="A1:P58"/>
  <sheetViews>
    <sheetView topLeftCell="A25" workbookViewId="0">
      <selection activeCell="E42" sqref="E4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43115</v>
      </c>
      <c r="C3" s="10"/>
      <c r="D3" s="9">
        <v>43116</v>
      </c>
      <c r="E3" s="10"/>
      <c r="F3" s="9">
        <v>43117</v>
      </c>
      <c r="G3" s="10"/>
      <c r="H3" s="9">
        <v>43118</v>
      </c>
      <c r="I3" s="10"/>
      <c r="J3" s="9">
        <v>43119</v>
      </c>
      <c r="K3" s="10"/>
      <c r="L3" s="9">
        <v>43120</v>
      </c>
      <c r="M3" s="10"/>
      <c r="N3" s="9">
        <v>43121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386.7</v>
      </c>
      <c r="E4" s="12"/>
      <c r="F4" s="12"/>
      <c r="G4" s="12"/>
      <c r="H4" s="12">
        <f>487.7-386.7</f>
        <v>101</v>
      </c>
      <c r="I4" s="12">
        <v>516.91</v>
      </c>
      <c r="J4" s="12"/>
      <c r="K4" s="12"/>
      <c r="L4" s="12"/>
      <c r="M4" s="12"/>
      <c r="N4" s="12"/>
      <c r="O4" s="12">
        <f>B4+D4+F4+H4+J4+L4+N4</f>
        <v>487.7</v>
      </c>
      <c r="P4" s="12">
        <f>C4+E4+G4+I4+K4+M4</f>
        <v>516.91</v>
      </c>
    </row>
    <row r="5" spans="1:16" ht="18.75" x14ac:dyDescent="0.3">
      <c r="A5" s="18" t="s">
        <v>11</v>
      </c>
      <c r="B5" s="13"/>
      <c r="C5" s="14"/>
      <c r="D5" s="14">
        <v>70.3</v>
      </c>
      <c r="E5" s="14"/>
      <c r="F5" s="14"/>
      <c r="G5" s="14"/>
      <c r="H5" s="14">
        <v>93.75</v>
      </c>
      <c r="I5" s="14"/>
      <c r="J5" s="14"/>
      <c r="K5" s="14"/>
      <c r="L5" s="14"/>
      <c r="M5" s="14"/>
      <c r="N5" s="14"/>
      <c r="O5" s="12">
        <f t="shared" ref="O5:O23" si="0">B5+D5+F5+H5+J5+L5+N5</f>
        <v>164.05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172.3</v>
      </c>
      <c r="I6" s="14"/>
      <c r="J6" s="14"/>
      <c r="K6" s="14"/>
      <c r="L6" s="14"/>
      <c r="M6" s="14"/>
      <c r="N6" s="14"/>
      <c r="O6" s="12">
        <f t="shared" si="0"/>
        <v>172.3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276.60000000000002</v>
      </c>
      <c r="G7" s="14"/>
      <c r="H7" s="14"/>
      <c r="I7" s="14"/>
      <c r="J7" s="14">
        <f>452.35-276.6</f>
        <v>175.75</v>
      </c>
      <c r="K7" s="14">
        <f>256.2+479.49</f>
        <v>735.69</v>
      </c>
      <c r="L7" s="14"/>
      <c r="M7" s="14"/>
      <c r="N7" s="14"/>
      <c r="O7" s="12">
        <f t="shared" si="0"/>
        <v>452.35</v>
      </c>
      <c r="P7" s="12">
        <f t="shared" si="1"/>
        <v>735.69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69" t="s">
        <v>16</v>
      </c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>
        <f t="shared" si="0"/>
        <v>0</v>
      </c>
      <c r="P10" s="72">
        <f t="shared" si="1"/>
        <v>0</v>
      </c>
    </row>
    <row r="11" spans="1:16" ht="18.75" x14ac:dyDescent="0.3">
      <c r="A11" s="19" t="s">
        <v>17</v>
      </c>
      <c r="B11" s="13"/>
      <c r="C11" s="14"/>
      <c r="D11" s="14">
        <v>75.25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75.25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>
        <f>234.2+64.5</f>
        <v>298.7</v>
      </c>
      <c r="I12" s="14">
        <f>292.24+351.75</f>
        <v>643.99</v>
      </c>
      <c r="J12" s="14"/>
      <c r="K12" s="14"/>
      <c r="L12" s="14"/>
      <c r="M12" s="14"/>
      <c r="N12" s="14"/>
      <c r="O12" s="12">
        <f t="shared" si="0"/>
        <v>298.7</v>
      </c>
      <c r="P12" s="12">
        <f t="shared" si="1"/>
        <v>643.99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357.2</v>
      </c>
      <c r="K13" s="14"/>
      <c r="L13" s="14"/>
      <c r="M13" s="14"/>
      <c r="N13" s="14"/>
      <c r="O13" s="12">
        <f t="shared" si="0"/>
        <v>357.2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62.8</v>
      </c>
      <c r="K14" s="14">
        <v>66.569999999999993</v>
      </c>
      <c r="L14" s="14"/>
      <c r="M14" s="14"/>
      <c r="N14" s="14"/>
      <c r="O14" s="12">
        <f t="shared" si="0"/>
        <v>62.8</v>
      </c>
      <c r="P14" s="12">
        <f t="shared" si="1"/>
        <v>66.569999999999993</v>
      </c>
    </row>
    <row r="15" spans="1:16" ht="18.75" x14ac:dyDescent="0.3">
      <c r="A15" s="19" t="s">
        <v>21</v>
      </c>
      <c r="B15" s="13"/>
      <c r="C15" s="14"/>
      <c r="D15" s="14"/>
      <c r="E15" s="14">
        <v>5263.55</v>
      </c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5263.55</v>
      </c>
    </row>
    <row r="16" spans="1:16" ht="18.75" x14ac:dyDescent="0.3">
      <c r="A16" s="19" t="s">
        <v>22</v>
      </c>
      <c r="B16" s="13"/>
      <c r="C16" s="14"/>
      <c r="D16" s="14">
        <v>68.8</v>
      </c>
      <c r="E16" s="14">
        <v>174.58</v>
      </c>
      <c r="F16" s="14"/>
      <c r="G16" s="14"/>
      <c r="H16" s="14">
        <v>113.8</v>
      </c>
      <c r="I16" s="14"/>
      <c r="J16" s="14"/>
      <c r="K16" s="14"/>
      <c r="L16" s="14"/>
      <c r="M16" s="14"/>
      <c r="N16" s="14"/>
      <c r="O16" s="12">
        <f t="shared" si="0"/>
        <v>182.6</v>
      </c>
      <c r="P16" s="12">
        <f t="shared" si="1"/>
        <v>174.58</v>
      </c>
    </row>
    <row r="17" spans="1:16" ht="18.75" x14ac:dyDescent="0.3">
      <c r="A17" s="18" t="s">
        <v>23</v>
      </c>
      <c r="B17" s="13">
        <v>128.4</v>
      </c>
      <c r="C17" s="14"/>
      <c r="D17" s="14"/>
      <c r="E17" s="14"/>
      <c r="F17" s="14"/>
      <c r="G17" s="14"/>
      <c r="H17" s="14">
        <v>215.5</v>
      </c>
      <c r="I17" s="14"/>
      <c r="J17" s="14"/>
      <c r="K17" s="14"/>
      <c r="L17" s="14"/>
      <c r="M17" s="14"/>
      <c r="N17" s="14"/>
      <c r="O17" s="12">
        <f t="shared" si="0"/>
        <v>343.9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129.75</v>
      </c>
      <c r="G18" s="14"/>
      <c r="H18" s="14"/>
      <c r="I18" s="14"/>
      <c r="J18" s="14">
        <f>318.15-129.75</f>
        <v>188.39999999999998</v>
      </c>
      <c r="K18" s="14">
        <v>289.97000000000003</v>
      </c>
      <c r="L18" s="14"/>
      <c r="M18" s="14"/>
      <c r="N18" s="14"/>
      <c r="O18" s="12">
        <f t="shared" si="0"/>
        <v>318.14999999999998</v>
      </c>
      <c r="P18" s="12">
        <f t="shared" si="1"/>
        <v>289.97000000000003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77</v>
      </c>
      <c r="G23" s="17">
        <v>77</v>
      </c>
      <c r="H23" s="17">
        <v>60</v>
      </c>
      <c r="I23" s="17">
        <v>60</v>
      </c>
      <c r="J23" s="17">
        <v>138.34</v>
      </c>
      <c r="K23" s="17">
        <v>168.34</v>
      </c>
      <c r="L23" s="17"/>
      <c r="M23" s="17"/>
      <c r="N23" s="17"/>
      <c r="O23" s="49">
        <f t="shared" si="0"/>
        <v>275.34000000000003</v>
      </c>
      <c r="P23" s="49">
        <f t="shared" si="1"/>
        <v>305.34000000000003</v>
      </c>
    </row>
    <row r="24" spans="1:16" x14ac:dyDescent="0.25">
      <c r="A24" t="s">
        <v>54</v>
      </c>
      <c r="B24" s="21">
        <f>SUM(B4:B23)</f>
        <v>128.4</v>
      </c>
      <c r="C24" s="21">
        <f t="shared" ref="C24:P24" si="2">SUM(C4:C23)</f>
        <v>0</v>
      </c>
      <c r="D24" s="21">
        <f t="shared" si="2"/>
        <v>601.04999999999995</v>
      </c>
      <c r="E24" s="21">
        <f t="shared" si="2"/>
        <v>5438.13</v>
      </c>
      <c r="F24" s="21">
        <f t="shared" si="2"/>
        <v>483.35</v>
      </c>
      <c r="G24" s="21">
        <f t="shared" si="2"/>
        <v>77</v>
      </c>
      <c r="H24" s="21">
        <f t="shared" si="2"/>
        <v>1055.05</v>
      </c>
      <c r="I24" s="21">
        <f t="shared" si="2"/>
        <v>1220.9000000000001</v>
      </c>
      <c r="J24" s="21">
        <f t="shared" si="2"/>
        <v>922.49</v>
      </c>
      <c r="K24" s="21">
        <f t="shared" si="2"/>
        <v>1260.57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3190.3400000000006</v>
      </c>
      <c r="P24" s="50">
        <f t="shared" si="2"/>
        <v>7996.6</v>
      </c>
    </row>
    <row r="25" spans="1:16" ht="15.75" thickBot="1" x14ac:dyDescent="0.3">
      <c r="N25" t="s">
        <v>55</v>
      </c>
      <c r="O25" s="50">
        <f>SUM(B24+D24+F24+H24+J24+L24+N24)</f>
        <v>3190.34</v>
      </c>
      <c r="P25" s="50">
        <f>SUM(C24+E24+G24+I24+K24+M24)</f>
        <v>7996.6</v>
      </c>
    </row>
    <row r="26" spans="1:16" ht="15.75" thickBot="1" x14ac:dyDescent="0.3">
      <c r="A26" t="s">
        <v>27</v>
      </c>
      <c r="B26" s="22">
        <f>O24</f>
        <v>3190.3400000000006</v>
      </c>
      <c r="D26" s="5" t="s">
        <v>30</v>
      </c>
      <c r="E26" s="47">
        <f>B50*1.5</f>
        <v>3314.3250000000003</v>
      </c>
    </row>
    <row r="27" spans="1:16" x14ac:dyDescent="0.25">
      <c r="A27" t="s">
        <v>28</v>
      </c>
      <c r="B27" s="22">
        <f>P24</f>
        <v>7996.6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132</v>
      </c>
      <c r="F32" s="42">
        <f>O24</f>
        <v>3190.3400000000006</v>
      </c>
      <c r="H32" s="37"/>
      <c r="I32" s="26" t="s">
        <v>50</v>
      </c>
      <c r="J32" s="44">
        <f>'Sem 02'!J32+F32</f>
        <v>9044.7900000000009</v>
      </c>
      <c r="L32" s="37"/>
      <c r="M32" s="27" t="s">
        <v>50</v>
      </c>
      <c r="N32" s="45">
        <f>J32</f>
        <v>9044.7900000000009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2209.5500000000002</v>
      </c>
      <c r="H33" s="37"/>
      <c r="I33" s="26" t="s">
        <v>51</v>
      </c>
      <c r="J33" s="44">
        <f>'Sem 02'!J33+F33</f>
        <v>6902.7492000000002</v>
      </c>
      <c r="L33" s="37"/>
      <c r="M33" s="27" t="s">
        <v>51</v>
      </c>
      <c r="N33" s="45">
        <f>J33</f>
        <v>6902.7492000000002</v>
      </c>
    </row>
    <row r="34" spans="1:14" x14ac:dyDescent="0.25">
      <c r="A34" t="s">
        <v>34</v>
      </c>
      <c r="B34" s="29">
        <f>IF(C34="","",(C34*1.16)+3.75+10)</f>
        <v>1171.72</v>
      </c>
      <c r="C34" s="35">
        <v>998.25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980.79000000000042</v>
      </c>
      <c r="H35" s="37"/>
      <c r="I35" s="26" t="s">
        <v>52</v>
      </c>
      <c r="J35" s="44">
        <f>'Sem 02'!J35+F35</f>
        <v>2142.0408000000002</v>
      </c>
      <c r="L35" s="37"/>
      <c r="M35" s="27" t="s">
        <v>52</v>
      </c>
      <c r="N35" s="45">
        <f>J35</f>
        <v>2142.0408000000002</v>
      </c>
    </row>
    <row r="36" spans="1:14" x14ac:dyDescent="0.25">
      <c r="A36" t="s">
        <v>36</v>
      </c>
      <c r="B36" s="31">
        <v>722.82</v>
      </c>
      <c r="D36" s="37"/>
      <c r="E36" s="25" t="s">
        <v>53</v>
      </c>
      <c r="F36" s="43">
        <f>(F32-F33)/F33</f>
        <v>0.44388676427326845</v>
      </c>
      <c r="H36" s="37"/>
      <c r="I36" s="26" t="s">
        <v>53</v>
      </c>
      <c r="J36" s="52">
        <f>(J32-J33)/J33</f>
        <v>0.31031705454400699</v>
      </c>
      <c r="L36" s="37"/>
      <c r="M36" s="27" t="s">
        <v>53</v>
      </c>
      <c r="N36" s="53">
        <f>(N32-N33)/N33</f>
        <v>0.31031705454400699</v>
      </c>
    </row>
    <row r="37" spans="1:14" x14ac:dyDescent="0.25">
      <c r="A37" t="s">
        <v>37</v>
      </c>
      <c r="B37" s="31">
        <v>315.01</v>
      </c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3190.3400000000006</v>
      </c>
      <c r="L48" s="37"/>
    </row>
    <row r="49" spans="1:12" ht="15.75" thickBot="1" x14ac:dyDescent="0.3">
      <c r="B49" s="21"/>
      <c r="D49" s="37"/>
      <c r="G49" s="40">
        <v>1298.07</v>
      </c>
      <c r="H49" s="37"/>
      <c r="L49" s="37"/>
    </row>
    <row r="50" spans="1:12" ht="15.75" thickBot="1" x14ac:dyDescent="0.3">
      <c r="A50" t="s">
        <v>42</v>
      </c>
      <c r="B50" s="33">
        <f>SUM(B33:B48)</f>
        <v>2209.5500000000002</v>
      </c>
      <c r="D50" s="37"/>
      <c r="G50" s="40"/>
      <c r="H50" s="37"/>
      <c r="I50" t="s">
        <v>62</v>
      </c>
      <c r="J50" s="21">
        <v>2915</v>
      </c>
      <c r="K50" s="41">
        <f>J50/K48</f>
        <v>0.91369571895158497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275.3400000000006</v>
      </c>
      <c r="K51" s="41">
        <f>J51/K48</f>
        <v>8.6304281048415074E-2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>
        <v>1112</v>
      </c>
      <c r="H53" s="37"/>
      <c r="L53" s="37"/>
    </row>
    <row r="54" spans="1:12" ht="15.75" thickBot="1" x14ac:dyDescent="0.3">
      <c r="A54" t="s">
        <v>44</v>
      </c>
      <c r="B54" s="33">
        <v>3877.97</v>
      </c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>
        <v>7838.65</v>
      </c>
      <c r="D55" s="37"/>
      <c r="E55" t="s">
        <v>60</v>
      </c>
      <c r="G55" s="40">
        <v>382.37</v>
      </c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73">
        <f>B54-B55</f>
        <v>-3960.68</v>
      </c>
    </row>
    <row r="58" spans="1:12" ht="16.5" thickBot="1" x14ac:dyDescent="0.3">
      <c r="E58" t="s">
        <v>65</v>
      </c>
      <c r="G58" s="48">
        <f>SUM(G48:G50)+SUM(G53:G55)</f>
        <v>2792.4399999999996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59999389629810485"/>
    <pageSetUpPr fitToPage="1"/>
  </sheetPr>
  <dimension ref="A1:P60"/>
  <sheetViews>
    <sheetView topLeftCell="A25" workbookViewId="0">
      <selection activeCell="B57" sqref="B57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A1" t="str">
        <f>"Sem "&amp;_xlfn.ISOWEEKNUM(B3)</f>
        <v>Sem 4</v>
      </c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43122</v>
      </c>
      <c r="C3" s="10"/>
      <c r="D3" s="9">
        <v>43123</v>
      </c>
      <c r="E3" s="10"/>
      <c r="F3" s="9">
        <v>43124</v>
      </c>
      <c r="G3" s="10"/>
      <c r="H3" s="9">
        <v>43125</v>
      </c>
      <c r="I3" s="10"/>
      <c r="J3" s="9">
        <v>43126</v>
      </c>
      <c r="K3" s="10"/>
      <c r="L3" s="9">
        <v>43127</v>
      </c>
      <c r="M3" s="10"/>
      <c r="N3" s="9">
        <v>43128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293.8</v>
      </c>
      <c r="E4" s="12"/>
      <c r="F4" s="12"/>
      <c r="G4" s="12"/>
      <c r="H4" s="12">
        <v>409.55</v>
      </c>
      <c r="I4" s="12"/>
      <c r="J4" s="12"/>
      <c r="K4" s="12"/>
      <c r="L4" s="12"/>
      <c r="M4" s="12"/>
      <c r="N4" s="12"/>
      <c r="O4" s="12">
        <f>B4+D4+F4+H4+J4+L4+N4</f>
        <v>703.35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>
        <v>50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50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310.75</v>
      </c>
      <c r="E6" s="14">
        <v>234.96</v>
      </c>
      <c r="F6" s="14"/>
      <c r="G6" s="14"/>
      <c r="H6" s="14"/>
      <c r="I6" s="14"/>
      <c r="J6" s="14">
        <v>113.5</v>
      </c>
      <c r="K6" s="14">
        <v>182.63</v>
      </c>
      <c r="L6" s="14"/>
      <c r="M6" s="14"/>
      <c r="N6" s="14"/>
      <c r="O6" s="12">
        <f t="shared" si="0"/>
        <v>424.25</v>
      </c>
      <c r="P6" s="12">
        <f t="shared" si="1"/>
        <v>417.59000000000003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163.30000000000001</v>
      </c>
      <c r="G7" s="14"/>
      <c r="H7" s="14"/>
      <c r="I7" s="14"/>
      <c r="J7" s="14">
        <f>304.6-163.5</f>
        <v>141.10000000000002</v>
      </c>
      <c r="K7" s="14">
        <v>322.88</v>
      </c>
      <c r="L7" s="14"/>
      <c r="M7" s="14"/>
      <c r="N7" s="14"/>
      <c r="O7" s="12">
        <f t="shared" si="0"/>
        <v>304.40000000000003</v>
      </c>
      <c r="P7" s="12">
        <f t="shared" si="1"/>
        <v>322.88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204.2</v>
      </c>
      <c r="I9" s="14">
        <v>216.45</v>
      </c>
      <c r="J9" s="14"/>
      <c r="K9" s="14"/>
      <c r="L9" s="14"/>
      <c r="M9" s="14"/>
      <c r="N9" s="14"/>
      <c r="O9" s="12">
        <f t="shared" si="0"/>
        <v>204.2</v>
      </c>
      <c r="P9" s="12">
        <f t="shared" si="1"/>
        <v>216.45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19" t="s">
        <v>17</v>
      </c>
      <c r="B11" s="13"/>
      <c r="C11" s="14"/>
      <c r="D11" s="14">
        <v>83.9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83.9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495.6</v>
      </c>
      <c r="K13" s="14"/>
      <c r="L13" s="14"/>
      <c r="M13" s="14"/>
      <c r="N13" s="14"/>
      <c r="O13" s="12">
        <f t="shared" si="0"/>
        <v>495.6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f>19.5+25.15</f>
        <v>44.65</v>
      </c>
      <c r="G14" s="14"/>
      <c r="H14" s="14"/>
      <c r="I14" s="14"/>
      <c r="J14" s="14">
        <f>72.6-19.5</f>
        <v>53.099999999999994</v>
      </c>
      <c r="K14" s="14"/>
      <c r="L14" s="14"/>
      <c r="M14" s="14"/>
      <c r="N14" s="14"/>
      <c r="O14" s="12">
        <f t="shared" si="0"/>
        <v>97.75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251.9</v>
      </c>
      <c r="E15" s="14"/>
      <c r="F15" s="14"/>
      <c r="G15" s="14"/>
      <c r="H15" s="14">
        <v>198.5</v>
      </c>
      <c r="I15" s="14">
        <v>222.6</v>
      </c>
      <c r="J15" s="14"/>
      <c r="K15" s="14"/>
      <c r="L15" s="14"/>
      <c r="M15" s="14"/>
      <c r="N15" s="14"/>
      <c r="O15" s="12">
        <f t="shared" si="0"/>
        <v>450.4</v>
      </c>
      <c r="P15" s="12">
        <f t="shared" si="1"/>
        <v>222.6</v>
      </c>
    </row>
    <row r="16" spans="1:16" ht="18.75" x14ac:dyDescent="0.3">
      <c r="A16" s="19" t="s">
        <v>22</v>
      </c>
      <c r="B16" s="13"/>
      <c r="C16" s="14"/>
      <c r="D16" s="14">
        <v>109.75</v>
      </c>
      <c r="E16" s="14">
        <v>193.55</v>
      </c>
      <c r="F16" s="14"/>
      <c r="G16" s="14"/>
      <c r="H16" s="14">
        <f>143.25+75</f>
        <v>218.25</v>
      </c>
      <c r="I16" s="14"/>
      <c r="J16" s="14"/>
      <c r="K16" s="14"/>
      <c r="L16" s="14"/>
      <c r="M16" s="14"/>
      <c r="N16" s="14"/>
      <c r="O16" s="12">
        <f t="shared" si="0"/>
        <v>328</v>
      </c>
      <c r="P16" s="12">
        <f t="shared" si="1"/>
        <v>193.55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>
        <v>81</v>
      </c>
      <c r="I17" s="14"/>
      <c r="J17" s="14"/>
      <c r="K17" s="14"/>
      <c r="L17" s="14"/>
      <c r="M17" s="14"/>
      <c r="N17" s="14"/>
      <c r="O17" s="12">
        <f t="shared" si="0"/>
        <v>81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102.05</v>
      </c>
      <c r="G18" s="14"/>
      <c r="H18" s="14"/>
      <c r="I18" s="14"/>
      <c r="J18" s="14">
        <f>276.95-102.05+50.3</f>
        <v>225.2</v>
      </c>
      <c r="K18" s="14">
        <v>337.24</v>
      </c>
      <c r="L18" s="14"/>
      <c r="M18" s="14"/>
      <c r="N18" s="14"/>
      <c r="O18" s="12">
        <f t="shared" si="0"/>
        <v>327.25</v>
      </c>
      <c r="P18" s="12">
        <f t="shared" si="1"/>
        <v>337.24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95.5</v>
      </c>
      <c r="G23" s="17">
        <v>95.5</v>
      </c>
      <c r="H23" s="17">
        <v>70</v>
      </c>
      <c r="I23" s="17">
        <v>70</v>
      </c>
      <c r="J23" s="17">
        <v>95.9</v>
      </c>
      <c r="K23" s="17">
        <v>95.9</v>
      </c>
      <c r="L23" s="17"/>
      <c r="M23" s="17"/>
      <c r="N23" s="17"/>
      <c r="O23" s="49">
        <f t="shared" si="0"/>
        <v>261.39999999999998</v>
      </c>
      <c r="P23" s="49">
        <f t="shared" si="1"/>
        <v>261.39999999999998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1100.0999999999999</v>
      </c>
      <c r="E24" s="21">
        <f t="shared" si="2"/>
        <v>428.51</v>
      </c>
      <c r="F24" s="21">
        <f t="shared" si="2"/>
        <v>405.5</v>
      </c>
      <c r="G24" s="21">
        <f t="shared" si="2"/>
        <v>95.5</v>
      </c>
      <c r="H24" s="21">
        <f t="shared" si="2"/>
        <v>1181.5</v>
      </c>
      <c r="I24" s="21">
        <f t="shared" si="2"/>
        <v>509.04999999999995</v>
      </c>
      <c r="J24" s="21">
        <f t="shared" si="2"/>
        <v>1124.4000000000001</v>
      </c>
      <c r="K24" s="21">
        <f t="shared" si="2"/>
        <v>938.65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3811.5000000000005</v>
      </c>
      <c r="P24" s="50">
        <f t="shared" si="2"/>
        <v>1971.71</v>
      </c>
    </row>
    <row r="25" spans="1:16" ht="15.75" thickBot="1" x14ac:dyDescent="0.3">
      <c r="N25" t="s">
        <v>55</v>
      </c>
      <c r="O25" s="50">
        <f>SUM(B24+D24+F24+H24+J24+L24+N24)</f>
        <v>3811.5</v>
      </c>
      <c r="P25" s="50">
        <f>SUM(C24+E24+G24+I24+K24+M24)</f>
        <v>1971.71</v>
      </c>
    </row>
    <row r="26" spans="1:16" ht="15.75" thickBot="1" x14ac:dyDescent="0.3">
      <c r="A26" t="s">
        <v>27</v>
      </c>
      <c r="B26" s="22">
        <f>O24</f>
        <v>3811.5000000000005</v>
      </c>
      <c r="D26" s="5" t="s">
        <v>30</v>
      </c>
      <c r="E26" s="47">
        <f>B50*1.5</f>
        <v>4119.2016000000003</v>
      </c>
    </row>
    <row r="27" spans="1:16" x14ac:dyDescent="0.25">
      <c r="A27" t="s">
        <v>28</v>
      </c>
      <c r="B27" s="22">
        <f>P24</f>
        <v>1971.71</v>
      </c>
    </row>
    <row r="28" spans="1:16" x14ac:dyDescent="0.25">
      <c r="A28" s="3" t="s">
        <v>29</v>
      </c>
      <c r="B28" s="21">
        <v>758.11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3811.5000000000005</v>
      </c>
      <c r="H32" s="37"/>
      <c r="I32" s="26" t="s">
        <v>50</v>
      </c>
      <c r="J32" s="44">
        <f>'Sem 03'!J32+'Sem 04'!F32</f>
        <v>12856.29</v>
      </c>
      <c r="L32" s="37"/>
      <c r="M32" s="27" t="s">
        <v>50</v>
      </c>
      <c r="N32" s="75">
        <f>'Sem 03'!N32+'Sem 04'!F32</f>
        <v>12856.29</v>
      </c>
    </row>
    <row r="33" spans="1:14" x14ac:dyDescent="0.25">
      <c r="A33" t="s">
        <v>33</v>
      </c>
      <c r="B33" s="28">
        <v>0</v>
      </c>
      <c r="C33" s="34">
        <v>0</v>
      </c>
      <c r="D33" s="37"/>
      <c r="E33" s="25" t="s">
        <v>51</v>
      </c>
      <c r="F33" s="42">
        <f>B50</f>
        <v>2746.1343999999999</v>
      </c>
      <c r="H33" s="37"/>
      <c r="I33" s="26" t="s">
        <v>51</v>
      </c>
      <c r="J33" s="44">
        <f>'Sem 03'!J33+'Sem 04'!F33</f>
        <v>9648.883600000001</v>
      </c>
      <c r="L33" s="37"/>
      <c r="M33" s="27" t="s">
        <v>51</v>
      </c>
      <c r="N33" s="45">
        <f>'Sem 03'!N33+'Sem 04'!F33</f>
        <v>9648.883600000001</v>
      </c>
    </row>
    <row r="34" spans="1:14" x14ac:dyDescent="0.25">
      <c r="A34" t="s">
        <v>34</v>
      </c>
      <c r="B34" s="29">
        <f>IF(C34="","",(C34*1.16)+3.75+10)</f>
        <v>1641.6243999999997</v>
      </c>
      <c r="C34" s="35">
        <v>1403.34</v>
      </c>
      <c r="D34" s="37"/>
      <c r="E34" s="25"/>
      <c r="F34" s="25"/>
      <c r="H34" s="37"/>
      <c r="I34" s="26"/>
      <c r="J34" s="44">
        <f>'Sem 03'!J34+'Sem 04'!F34</f>
        <v>0</v>
      </c>
      <c r="L34" s="37"/>
      <c r="M34" s="27"/>
      <c r="N34" s="45">
        <f>'Sem 03'!N34+'Sem 04'!F34</f>
        <v>0</v>
      </c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1065.3656000000005</v>
      </c>
      <c r="H35" s="37"/>
      <c r="I35" s="26" t="s">
        <v>52</v>
      </c>
      <c r="J35" s="44">
        <f>'Sem 03'!J35+'Sem 04'!F35</f>
        <v>3207.4064000000008</v>
      </c>
      <c r="L35" s="37"/>
      <c r="M35" s="27" t="s">
        <v>52</v>
      </c>
      <c r="N35" s="45">
        <f>'Sem 03'!N35+'Sem 04'!F35</f>
        <v>3207.4064000000008</v>
      </c>
    </row>
    <row r="36" spans="1:14" x14ac:dyDescent="0.25">
      <c r="A36" t="s">
        <v>36</v>
      </c>
      <c r="B36" s="31">
        <v>896.11</v>
      </c>
      <c r="D36" s="37"/>
      <c r="E36" s="25" t="s">
        <v>53</v>
      </c>
      <c r="F36" s="43">
        <f>(F32-F33)/F33</f>
        <v>0.38795100487434286</v>
      </c>
      <c r="H36" s="37"/>
      <c r="I36" s="26" t="s">
        <v>53</v>
      </c>
      <c r="J36" s="52">
        <f>(J32-J33)/J33</f>
        <v>0.33241217667917555</v>
      </c>
      <c r="L36" s="37"/>
      <c r="M36" s="27" t="s">
        <v>53</v>
      </c>
      <c r="N36" s="53">
        <f>(N32-N33)/N33</f>
        <v>0.33241217667917555</v>
      </c>
    </row>
    <row r="37" spans="1:14" x14ac:dyDescent="0.25">
      <c r="A37" t="s">
        <v>37</v>
      </c>
      <c r="B37" s="31">
        <v>208.4</v>
      </c>
      <c r="D37" s="37"/>
      <c r="H37" s="37"/>
      <c r="L37" s="37"/>
    </row>
    <row r="38" spans="1:14" ht="15.75" thickBot="1" x14ac:dyDescent="0.3">
      <c r="A38" t="s">
        <v>38</v>
      </c>
      <c r="B38" s="32" t="s">
        <v>134</v>
      </c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E41" t="s">
        <v>130</v>
      </c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 t="s">
        <v>133</v>
      </c>
      <c r="B44" s="21">
        <f>B37*0.15</f>
        <v>31.259999999999998</v>
      </c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3811.5000000000005</v>
      </c>
      <c r="L48" s="37"/>
    </row>
    <row r="49" spans="1:12" ht="15.75" thickBot="1" x14ac:dyDescent="0.3">
      <c r="B49" s="21"/>
      <c r="D49" s="37"/>
      <c r="G49" s="40">
        <v>1372.26</v>
      </c>
      <c r="H49" s="37"/>
      <c r="L49" s="37"/>
    </row>
    <row r="50" spans="1:12" ht="15.75" thickBot="1" x14ac:dyDescent="0.3">
      <c r="A50" t="s">
        <v>42</v>
      </c>
      <c r="B50" s="33">
        <f>SUM(B33:B38)</f>
        <v>2746.1343999999999</v>
      </c>
      <c r="D50" s="37"/>
      <c r="G50" s="40"/>
      <c r="H50" s="37"/>
      <c r="I50" t="s">
        <v>62</v>
      </c>
      <c r="J50" s="21">
        <v>3500.3</v>
      </c>
      <c r="K50" s="41">
        <f>J50/K48</f>
        <v>0.91835235471599097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311.20000000000027</v>
      </c>
      <c r="K51" s="41">
        <f>J51/K48</f>
        <v>8.1647645284008988E-2</v>
      </c>
      <c r="L51" s="37"/>
    </row>
    <row r="52" spans="1:12" x14ac:dyDescent="0.25">
      <c r="A52" t="s">
        <v>43</v>
      </c>
      <c r="B52" s="21">
        <f>SUM(B43:B47)</f>
        <v>31.259999999999998</v>
      </c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>
        <v>1171.1600000000001</v>
      </c>
      <c r="H53" s="37"/>
      <c r="L53" s="37"/>
    </row>
    <row r="54" spans="1:12" ht="15.75" thickBot="1" x14ac:dyDescent="0.3">
      <c r="A54" t="s">
        <v>44</v>
      </c>
      <c r="B54" s="33">
        <v>5451.17</v>
      </c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>
        <f>'Sem 03'!B54</f>
        <v>3877.97</v>
      </c>
      <c r="D55" s="37"/>
      <c r="E55" t="s">
        <v>60</v>
      </c>
      <c r="G55" s="40">
        <v>262.88</v>
      </c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>
        <f>B54-B55</f>
        <v>1573.2000000000003</v>
      </c>
    </row>
    <row r="58" spans="1:12" ht="16.5" thickBot="1" x14ac:dyDescent="0.3">
      <c r="B58" t="str">
        <f>IF(B57&gt;0,"En Plus","En Moins")</f>
        <v>En Plus</v>
      </c>
      <c r="E58" t="s">
        <v>65</v>
      </c>
      <c r="G58" s="48">
        <f>SUM(G48:G50)+SUM(G53:G55)</f>
        <v>2806.3</v>
      </c>
    </row>
    <row r="60" spans="1:12" x14ac:dyDescent="0.25">
      <c r="A60" t="s">
        <v>187</v>
      </c>
      <c r="B60" s="21">
        <v>935.91173076923064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59999389629810485"/>
    <pageSetUpPr fitToPage="1"/>
  </sheetPr>
  <dimension ref="A1:P60"/>
  <sheetViews>
    <sheetView topLeftCell="A19" workbookViewId="0">
      <selection activeCell="G12" sqref="G1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84">
        <v>43129</v>
      </c>
      <c r="C3" s="85"/>
      <c r="D3" s="84">
        <v>43130</v>
      </c>
      <c r="E3" s="85"/>
      <c r="F3" s="84">
        <v>43131</v>
      </c>
      <c r="G3" s="85"/>
      <c r="H3" s="84">
        <v>43132</v>
      </c>
      <c r="I3" s="85"/>
      <c r="J3" s="84">
        <v>43133</v>
      </c>
      <c r="K3" s="85"/>
      <c r="L3" s="84">
        <v>43134</v>
      </c>
      <c r="M3" s="85"/>
      <c r="N3" s="84">
        <v>43135</v>
      </c>
      <c r="O3" s="85"/>
      <c r="P3" s="85"/>
    </row>
    <row r="4" spans="1:16" ht="19.5" thickTop="1" x14ac:dyDescent="0.3">
      <c r="A4" s="81" t="s">
        <v>10</v>
      </c>
      <c r="B4" s="86"/>
      <c r="C4" s="86"/>
      <c r="D4" s="86">
        <f>282.7+7.5</f>
        <v>290.2</v>
      </c>
      <c r="E4" s="86">
        <v>745.55</v>
      </c>
      <c r="F4" s="86"/>
      <c r="G4" s="86"/>
      <c r="H4" s="86">
        <f>533.45-282.7</f>
        <v>250.75000000000006</v>
      </c>
      <c r="I4" s="86">
        <v>574.52</v>
      </c>
      <c r="J4" s="86"/>
      <c r="K4" s="86"/>
      <c r="L4" s="86"/>
      <c r="M4" s="86"/>
      <c r="N4" s="86"/>
      <c r="O4" s="86">
        <f>B4+D4+F4+H4+J4+L4+N4</f>
        <v>540.95000000000005</v>
      </c>
      <c r="P4" s="86">
        <f>C4+E4+G4+I4+K4+M4</f>
        <v>1320.07</v>
      </c>
    </row>
    <row r="5" spans="1:16" ht="18.75" x14ac:dyDescent="0.3">
      <c r="A5" s="81" t="s">
        <v>11</v>
      </c>
      <c r="B5" s="87"/>
      <c r="C5" s="87"/>
      <c r="D5" s="87">
        <v>79</v>
      </c>
      <c r="E5" s="87"/>
      <c r="F5" s="87"/>
      <c r="G5" s="87"/>
      <c r="H5" s="87"/>
      <c r="I5" s="87"/>
      <c r="J5" s="87"/>
      <c r="K5" s="87"/>
      <c r="L5" s="87"/>
      <c r="M5" s="87"/>
      <c r="N5" s="87"/>
      <c r="O5" s="87">
        <f t="shared" ref="O5:O23" si="0">B5+D5+F5+H5+J5+L5+N5</f>
        <v>79</v>
      </c>
      <c r="P5" s="87">
        <f t="shared" ref="P5:P23" si="1">C5+E5+G5+I5+K5+M5</f>
        <v>0</v>
      </c>
    </row>
    <row r="6" spans="1:16" ht="18.75" x14ac:dyDescent="0.3">
      <c r="A6" s="81" t="s">
        <v>12</v>
      </c>
      <c r="B6" s="87"/>
      <c r="C6" s="87"/>
      <c r="D6" s="87">
        <v>392.95</v>
      </c>
      <c r="E6" s="87">
        <v>290</v>
      </c>
      <c r="F6" s="87"/>
      <c r="G6" s="87"/>
      <c r="H6" s="87">
        <f>396.5+36.09</f>
        <v>432.59000000000003</v>
      </c>
      <c r="I6" s="87"/>
      <c r="J6" s="87"/>
      <c r="K6" s="87"/>
      <c r="L6" s="87"/>
      <c r="M6" s="87"/>
      <c r="N6" s="87"/>
      <c r="O6" s="87">
        <f t="shared" si="0"/>
        <v>825.54</v>
      </c>
      <c r="P6" s="87">
        <f t="shared" si="1"/>
        <v>290</v>
      </c>
    </row>
    <row r="7" spans="1:16" ht="18.75" x14ac:dyDescent="0.3">
      <c r="A7" s="81" t="s">
        <v>13</v>
      </c>
      <c r="B7" s="87"/>
      <c r="C7" s="87"/>
      <c r="D7" s="87"/>
      <c r="E7" s="87"/>
      <c r="F7" s="87">
        <v>368</v>
      </c>
      <c r="G7" s="87"/>
      <c r="H7" s="87"/>
      <c r="I7" s="87"/>
      <c r="J7" s="87"/>
      <c r="K7" s="87"/>
      <c r="L7" s="87"/>
      <c r="M7" s="87"/>
      <c r="N7" s="87"/>
      <c r="O7" s="87">
        <f t="shared" si="0"/>
        <v>368</v>
      </c>
      <c r="P7" s="87">
        <f t="shared" si="1"/>
        <v>0</v>
      </c>
    </row>
    <row r="8" spans="1:16" ht="18.75" x14ac:dyDescent="0.3">
      <c r="A8" s="81" t="s">
        <v>14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>
        <f t="shared" si="0"/>
        <v>0</v>
      </c>
      <c r="P8" s="87">
        <f t="shared" si="1"/>
        <v>0</v>
      </c>
    </row>
    <row r="9" spans="1:16" ht="18.75" x14ac:dyDescent="0.3">
      <c r="A9" s="82" t="s">
        <v>15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>
        <f t="shared" si="0"/>
        <v>0</v>
      </c>
      <c r="P9" s="87">
        <f t="shared" si="1"/>
        <v>0</v>
      </c>
    </row>
    <row r="10" spans="1:16" ht="18.75" x14ac:dyDescent="0.3">
      <c r="A10" s="83" t="s">
        <v>16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>
        <f t="shared" si="0"/>
        <v>0</v>
      </c>
      <c r="P10" s="88">
        <f t="shared" si="1"/>
        <v>0</v>
      </c>
    </row>
    <row r="11" spans="1:16" ht="18.75" x14ac:dyDescent="0.3">
      <c r="A11" s="83" t="s">
        <v>17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>
        <f t="shared" si="0"/>
        <v>0</v>
      </c>
      <c r="P11" s="88">
        <f t="shared" si="1"/>
        <v>0</v>
      </c>
    </row>
    <row r="12" spans="1:16" ht="18.75" x14ac:dyDescent="0.3">
      <c r="A12" s="82" t="s">
        <v>18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>
        <f t="shared" si="0"/>
        <v>0</v>
      </c>
      <c r="P12" s="87">
        <f t="shared" si="1"/>
        <v>0</v>
      </c>
    </row>
    <row r="13" spans="1:16" ht="18.75" x14ac:dyDescent="0.3">
      <c r="A13" s="82" t="s">
        <v>19</v>
      </c>
      <c r="B13" s="87"/>
      <c r="C13" s="87"/>
      <c r="D13" s="87"/>
      <c r="E13" s="87"/>
      <c r="F13" s="87"/>
      <c r="G13" s="87"/>
      <c r="H13" s="87"/>
      <c r="I13" s="87"/>
      <c r="J13" s="87">
        <v>374.45</v>
      </c>
      <c r="K13" s="87"/>
      <c r="L13" s="87"/>
      <c r="M13" s="87"/>
      <c r="N13" s="87"/>
      <c r="O13" s="87">
        <f t="shared" si="0"/>
        <v>374.45</v>
      </c>
      <c r="P13" s="87">
        <f t="shared" si="1"/>
        <v>0</v>
      </c>
    </row>
    <row r="14" spans="1:16" ht="18.75" x14ac:dyDescent="0.3">
      <c r="A14" s="82" t="s">
        <v>20</v>
      </c>
      <c r="B14" s="87"/>
      <c r="C14" s="87"/>
      <c r="D14" s="87"/>
      <c r="E14" s="87"/>
      <c r="F14" s="87"/>
      <c r="G14" s="87"/>
      <c r="H14" s="87"/>
      <c r="I14" s="87"/>
      <c r="J14" s="87">
        <v>49.5</v>
      </c>
      <c r="K14" s="87">
        <v>52.47</v>
      </c>
      <c r="L14" s="87"/>
      <c r="M14" s="87"/>
      <c r="N14" s="87"/>
      <c r="O14" s="87">
        <f t="shared" si="0"/>
        <v>49.5</v>
      </c>
      <c r="P14" s="87">
        <f t="shared" si="1"/>
        <v>52.47</v>
      </c>
    </row>
    <row r="15" spans="1:16" ht="18.75" x14ac:dyDescent="0.3">
      <c r="A15" s="82" t="s">
        <v>21</v>
      </c>
      <c r="B15" s="87"/>
      <c r="C15" s="87"/>
      <c r="D15" s="87">
        <v>201</v>
      </c>
      <c r="E15" s="87">
        <v>477.42</v>
      </c>
      <c r="F15" s="87"/>
      <c r="G15" s="87"/>
      <c r="H15" s="87">
        <f>145.25+39</f>
        <v>184.25</v>
      </c>
      <c r="I15" s="87"/>
      <c r="J15" s="87"/>
      <c r="K15" s="87"/>
      <c r="L15" s="87"/>
      <c r="M15" s="87"/>
      <c r="N15" s="87"/>
      <c r="O15" s="87">
        <f t="shared" si="0"/>
        <v>385.25</v>
      </c>
      <c r="P15" s="87">
        <f t="shared" si="1"/>
        <v>477.42</v>
      </c>
    </row>
    <row r="16" spans="1:16" ht="18.75" x14ac:dyDescent="0.3">
      <c r="A16" s="82" t="s">
        <v>22</v>
      </c>
      <c r="B16" s="87"/>
      <c r="C16" s="87"/>
      <c r="D16" s="87">
        <v>134.5</v>
      </c>
      <c r="E16" s="87">
        <v>258.93</v>
      </c>
      <c r="F16" s="87"/>
      <c r="G16" s="87"/>
      <c r="H16" s="87">
        <v>118.5</v>
      </c>
      <c r="I16" s="87"/>
      <c r="J16" s="87"/>
      <c r="K16" s="87"/>
      <c r="L16" s="87"/>
      <c r="M16" s="87"/>
      <c r="N16" s="87"/>
      <c r="O16" s="87">
        <f t="shared" si="0"/>
        <v>253</v>
      </c>
      <c r="P16" s="87">
        <f t="shared" si="1"/>
        <v>258.93</v>
      </c>
    </row>
    <row r="17" spans="1:16" ht="18.75" x14ac:dyDescent="0.3">
      <c r="A17" s="81" t="s">
        <v>23</v>
      </c>
      <c r="B17" s="87"/>
      <c r="C17" s="87"/>
      <c r="D17" s="87">
        <v>122.7</v>
      </c>
      <c r="E17" s="87"/>
      <c r="F17" s="87"/>
      <c r="G17" s="87"/>
      <c r="H17" s="87">
        <v>131.69999999999999</v>
      </c>
      <c r="I17" s="87"/>
      <c r="J17" s="87"/>
      <c r="K17" s="87"/>
      <c r="L17" s="87"/>
      <c r="M17" s="87"/>
      <c r="N17" s="87"/>
      <c r="O17" s="87">
        <f t="shared" si="0"/>
        <v>254.39999999999998</v>
      </c>
      <c r="P17" s="87">
        <f t="shared" si="1"/>
        <v>0</v>
      </c>
    </row>
    <row r="18" spans="1:16" ht="18.75" x14ac:dyDescent="0.3">
      <c r="A18" s="81" t="s">
        <v>24</v>
      </c>
      <c r="B18" s="87"/>
      <c r="C18" s="87"/>
      <c r="D18" s="87"/>
      <c r="E18" s="87"/>
      <c r="F18" s="87">
        <f>282.6+29.89</f>
        <v>312.49</v>
      </c>
      <c r="G18" s="87"/>
      <c r="H18" s="87"/>
      <c r="I18" s="87"/>
      <c r="J18" s="87">
        <f>473.3-282.6+36.39</f>
        <v>227.08999999999997</v>
      </c>
      <c r="K18" s="87">
        <v>354.43</v>
      </c>
      <c r="L18" s="87"/>
      <c r="M18" s="87"/>
      <c r="N18" s="87"/>
      <c r="O18" s="87">
        <f t="shared" si="0"/>
        <v>539.57999999999993</v>
      </c>
      <c r="P18" s="87">
        <f t="shared" si="1"/>
        <v>354.43</v>
      </c>
    </row>
    <row r="19" spans="1:16" ht="18.75" x14ac:dyDescent="0.3">
      <c r="A19" s="20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>
        <f t="shared" si="0"/>
        <v>0</v>
      </c>
      <c r="P19" s="87">
        <f t="shared" si="1"/>
        <v>0</v>
      </c>
    </row>
    <row r="20" spans="1:16" ht="18.75" x14ac:dyDescent="0.3">
      <c r="A20" s="20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>
        <f t="shared" si="0"/>
        <v>0</v>
      </c>
      <c r="P20" s="87">
        <f t="shared" si="1"/>
        <v>0</v>
      </c>
    </row>
    <row r="21" spans="1:16" ht="18.75" x14ac:dyDescent="0.3">
      <c r="A21" s="20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>
        <f t="shared" si="0"/>
        <v>0</v>
      </c>
      <c r="P21" s="87">
        <f t="shared" si="1"/>
        <v>0</v>
      </c>
    </row>
    <row r="22" spans="1:16" ht="18.75" x14ac:dyDescent="0.3">
      <c r="A22" s="20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>
        <f t="shared" si="0"/>
        <v>0</v>
      </c>
      <c r="P22" s="87">
        <f t="shared" si="1"/>
        <v>0</v>
      </c>
    </row>
    <row r="23" spans="1:16" ht="18.75" x14ac:dyDescent="0.3">
      <c r="A23" s="46" t="s">
        <v>64</v>
      </c>
      <c r="B23" s="89"/>
      <c r="C23" s="89"/>
      <c r="D23" s="89"/>
      <c r="E23" s="89"/>
      <c r="F23" s="89">
        <v>60</v>
      </c>
      <c r="G23" s="89">
        <v>60</v>
      </c>
      <c r="H23" s="89">
        <v>75</v>
      </c>
      <c r="I23" s="89">
        <v>75</v>
      </c>
      <c r="J23" s="89">
        <v>56.7</v>
      </c>
      <c r="K23" s="89">
        <v>56.7</v>
      </c>
      <c r="L23" s="89"/>
      <c r="M23" s="89"/>
      <c r="N23" s="89"/>
      <c r="O23" s="89">
        <f t="shared" si="0"/>
        <v>191.7</v>
      </c>
      <c r="P23" s="89">
        <f t="shared" si="1"/>
        <v>191.7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1220.3500000000001</v>
      </c>
      <c r="E24" s="21">
        <f t="shared" si="2"/>
        <v>1771.9</v>
      </c>
      <c r="F24" s="21">
        <f t="shared" si="2"/>
        <v>740.49</v>
      </c>
      <c r="G24" s="21">
        <f t="shared" si="2"/>
        <v>60</v>
      </c>
      <c r="H24" s="21">
        <f t="shared" si="2"/>
        <v>1192.7900000000002</v>
      </c>
      <c r="I24" s="21">
        <f t="shared" si="2"/>
        <v>649.52</v>
      </c>
      <c r="J24" s="21">
        <f t="shared" si="2"/>
        <v>707.74</v>
      </c>
      <c r="K24" s="21">
        <f t="shared" si="2"/>
        <v>463.59999999999997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3861.37</v>
      </c>
      <c r="P24" s="50">
        <f t="shared" si="2"/>
        <v>2945.0199999999995</v>
      </c>
    </row>
    <row r="25" spans="1:16" ht="15.75" thickBot="1" x14ac:dyDescent="0.3">
      <c r="N25" t="s">
        <v>55</v>
      </c>
      <c r="O25" s="50">
        <f>SUM(B24+D24+F24+H24+J24+L24+N24)</f>
        <v>3861.37</v>
      </c>
      <c r="P25" s="50">
        <f>SUM(C24+E24+G24+I24+K24+M24)</f>
        <v>2945.02</v>
      </c>
    </row>
    <row r="26" spans="1:16" ht="15.75" thickBot="1" x14ac:dyDescent="0.3">
      <c r="A26" t="s">
        <v>27</v>
      </c>
      <c r="B26" s="22">
        <f>O24</f>
        <v>3861.37</v>
      </c>
      <c r="D26" s="5" t="s">
        <v>30</v>
      </c>
      <c r="E26" s="47">
        <f>B50*1.5</f>
        <v>5585.8152</v>
      </c>
    </row>
    <row r="27" spans="1:16" x14ac:dyDescent="0.25">
      <c r="A27" t="s">
        <v>28</v>
      </c>
      <c r="B27" s="22">
        <f>P24</f>
        <v>2945.0199999999995</v>
      </c>
    </row>
    <row r="28" spans="1:16" x14ac:dyDescent="0.25">
      <c r="A28" s="3" t="s">
        <v>29</v>
      </c>
      <c r="B28" s="21">
        <v>1808.6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3861.37</v>
      </c>
      <c r="H32" s="37"/>
      <c r="I32" s="26" t="s">
        <v>50</v>
      </c>
      <c r="J32" s="44">
        <f>F32</f>
        <v>3861.37</v>
      </c>
      <c r="L32" s="37"/>
      <c r="M32" s="27" t="s">
        <v>50</v>
      </c>
      <c r="N32" s="45">
        <f>'Sem 04'!N32+'Sem 05'!F32</f>
        <v>16717.66</v>
      </c>
    </row>
    <row r="33" spans="1:14" x14ac:dyDescent="0.25">
      <c r="A33" t="s">
        <v>33</v>
      </c>
      <c r="B33" s="28">
        <f>IF(C33="","",(C33*1.16)+3.75+10)</f>
        <v>1859.7508</v>
      </c>
      <c r="C33" s="34">
        <v>1591.38</v>
      </c>
      <c r="D33" s="37"/>
      <c r="E33" s="25" t="s">
        <v>51</v>
      </c>
      <c r="F33" s="42">
        <f>B50</f>
        <v>3723.8768</v>
      </c>
      <c r="H33" s="37"/>
      <c r="I33" s="26" t="s">
        <v>51</v>
      </c>
      <c r="J33" s="44">
        <f>F33</f>
        <v>3723.8768</v>
      </c>
      <c r="L33" s="37"/>
      <c r="M33" s="27" t="s">
        <v>51</v>
      </c>
      <c r="N33" s="45">
        <f>'Sem 04'!N33+'Sem 05'!F33</f>
        <v>13372.760400000001</v>
      </c>
    </row>
    <row r="34" spans="1:14" x14ac:dyDescent="0.25">
      <c r="A34" t="s">
        <v>34</v>
      </c>
      <c r="B34" s="29">
        <f>IF(C34="","",(C34*1.16)+3.75+10)</f>
        <v>803.82600000000002</v>
      </c>
      <c r="C34" s="35">
        <v>681.1</v>
      </c>
      <c r="D34" s="37"/>
      <c r="E34" s="25"/>
      <c r="F34" s="25"/>
      <c r="H34" s="37"/>
      <c r="I34" s="26"/>
      <c r="J34" s="44"/>
      <c r="L34" s="37"/>
      <c r="M34" s="27"/>
      <c r="N34" s="45">
        <f>'Sem 04'!N34+'Sem 05'!F34</f>
        <v>0</v>
      </c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137.49319999999989</v>
      </c>
      <c r="H35" s="37"/>
      <c r="I35" s="26" t="s">
        <v>52</v>
      </c>
      <c r="J35" s="44">
        <f>F35</f>
        <v>137.49319999999989</v>
      </c>
      <c r="L35" s="37"/>
      <c r="M35" s="27" t="s">
        <v>52</v>
      </c>
      <c r="N35" s="45">
        <f>'Sem 04'!N35+'Sem 05'!F35</f>
        <v>3344.8996000000006</v>
      </c>
    </row>
    <row r="36" spans="1:14" x14ac:dyDescent="0.25">
      <c r="A36" t="s">
        <v>36</v>
      </c>
      <c r="B36" s="31">
        <v>863.3</v>
      </c>
      <c r="D36" s="37"/>
      <c r="E36" s="25" t="s">
        <v>53</v>
      </c>
      <c r="F36" s="43">
        <f>(F32-F33)/F33</f>
        <v>3.6922059290468441E-2</v>
      </c>
      <c r="H36" s="37"/>
      <c r="I36" s="26" t="s">
        <v>53</v>
      </c>
      <c r="J36" s="52">
        <f>(J32-J33)/J33</f>
        <v>3.6922059290468441E-2</v>
      </c>
      <c r="L36" s="37"/>
      <c r="M36" s="27" t="s">
        <v>53</v>
      </c>
      <c r="N36" s="53">
        <f>(N32-N33)/N33</f>
        <v>0.25012783448957915</v>
      </c>
    </row>
    <row r="37" spans="1:14" x14ac:dyDescent="0.25">
      <c r="A37" t="s">
        <v>37</v>
      </c>
      <c r="B37" s="31">
        <v>197</v>
      </c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E39" s="65"/>
      <c r="H39" s="37"/>
      <c r="L39" s="37"/>
    </row>
    <row r="40" spans="1:14" x14ac:dyDescent="0.25">
      <c r="B40" s="21"/>
      <c r="D40" s="37"/>
      <c r="E40" s="66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>
        <v>1930.55</v>
      </c>
      <c r="H48" s="37"/>
      <c r="I48" s="38" t="s">
        <v>61</v>
      </c>
      <c r="J48" s="38"/>
      <c r="K48" s="39">
        <f>F32</f>
        <v>3861.37</v>
      </c>
      <c r="L48" s="37"/>
    </row>
    <row r="49" spans="1:12" ht="15.75" thickBot="1" x14ac:dyDescent="0.3">
      <c r="B49" s="21"/>
      <c r="D49" s="37"/>
      <c r="G49" s="40">
        <v>512.03</v>
      </c>
      <c r="H49" s="37"/>
      <c r="L49" s="37"/>
    </row>
    <row r="50" spans="1:12" ht="15.75" thickBot="1" x14ac:dyDescent="0.3">
      <c r="A50" t="s">
        <v>42</v>
      </c>
      <c r="B50" s="33">
        <f>SUM(B33:B48)</f>
        <v>3723.8768</v>
      </c>
      <c r="D50" s="37"/>
      <c r="G50" s="40"/>
      <c r="H50" s="37"/>
      <c r="I50" t="s">
        <v>62</v>
      </c>
      <c r="J50">
        <v>3639.78</v>
      </c>
      <c r="K50" s="41">
        <f>J50/K48</f>
        <v>0.94261363194928238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221.58999999999969</v>
      </c>
      <c r="K51" s="41">
        <f>J51/K48</f>
        <v>5.7386368050717673E-2</v>
      </c>
      <c r="L51" s="37"/>
    </row>
    <row r="52" spans="1:12" x14ac:dyDescent="0.25">
      <c r="A52" s="80" t="s">
        <v>43</v>
      </c>
      <c r="B52" s="21"/>
      <c r="D52" s="37"/>
      <c r="H52" s="37"/>
      <c r="L52" s="37"/>
    </row>
    <row r="53" spans="1:12" x14ac:dyDescent="0.25">
      <c r="A53" s="6" t="s">
        <v>188</v>
      </c>
      <c r="B53" s="21">
        <f>(40.5*12)/52</f>
        <v>9.3461538461538467</v>
      </c>
      <c r="D53" s="37"/>
      <c r="E53" t="s">
        <v>58</v>
      </c>
      <c r="G53" s="40">
        <v>916.86</v>
      </c>
      <c r="H53" s="37"/>
      <c r="L53" s="37"/>
    </row>
    <row r="54" spans="1:12" x14ac:dyDescent="0.25">
      <c r="A54" s="79" t="s">
        <v>189</v>
      </c>
      <c r="B54" s="65">
        <f>B37*16%</f>
        <v>31.52</v>
      </c>
      <c r="D54" s="37"/>
      <c r="E54" t="s">
        <v>59</v>
      </c>
      <c r="G54" s="40"/>
      <c r="H54" s="37"/>
      <c r="L54" s="37"/>
    </row>
    <row r="55" spans="1:12" ht="15.75" thickBot="1" x14ac:dyDescent="0.3">
      <c r="D55" s="37"/>
      <c r="E55" t="s">
        <v>60</v>
      </c>
      <c r="G55" s="40">
        <v>227.89</v>
      </c>
      <c r="H55" s="37"/>
      <c r="L55" s="37"/>
    </row>
    <row r="56" spans="1:12" ht="15.75" thickBot="1" x14ac:dyDescent="0.3">
      <c r="A56" t="s">
        <v>44</v>
      </c>
      <c r="B56" s="33">
        <v>4571.68</v>
      </c>
      <c r="D56" s="37"/>
      <c r="H56" s="37"/>
      <c r="L56" s="37"/>
    </row>
    <row r="57" spans="1:12" ht="15.75" thickBot="1" x14ac:dyDescent="0.3">
      <c r="A57" t="s">
        <v>45</v>
      </c>
      <c r="B57" s="21">
        <f>'Sem 04'!B54</f>
        <v>5451.17</v>
      </c>
    </row>
    <row r="58" spans="1:12" ht="16.5" thickBot="1" x14ac:dyDescent="0.3">
      <c r="B58" s="21"/>
      <c r="E58" t="s">
        <v>65</v>
      </c>
      <c r="G58" s="48">
        <f>SUM(G48:G50)+SUM(G53:G55)</f>
        <v>3587.33</v>
      </c>
    </row>
    <row r="59" spans="1:12" x14ac:dyDescent="0.25">
      <c r="A59" t="s">
        <v>46</v>
      </c>
      <c r="B59" s="73">
        <f>B56-B57</f>
        <v>-879.48999999999978</v>
      </c>
    </row>
    <row r="60" spans="1:12" x14ac:dyDescent="0.25">
      <c r="B60" t="str">
        <f>IF(B59&lt;0,"EN MOINS","EN PLUS")</f>
        <v>EN MOINS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59999389629810485"/>
    <pageSetUpPr fitToPage="1"/>
  </sheetPr>
  <dimension ref="A1:P59"/>
  <sheetViews>
    <sheetView topLeftCell="A31" workbookViewId="0">
      <selection activeCell="J51" sqref="J51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43136</v>
      </c>
      <c r="C3" s="10"/>
      <c r="D3" s="9">
        <v>43137</v>
      </c>
      <c r="E3" s="10"/>
      <c r="F3" s="9">
        <v>43138</v>
      </c>
      <c r="G3" s="10"/>
      <c r="H3" s="9">
        <v>43139</v>
      </c>
      <c r="I3" s="10"/>
      <c r="J3" s="9">
        <v>43140</v>
      </c>
      <c r="K3" s="10"/>
      <c r="L3" s="9">
        <v>43141</v>
      </c>
      <c r="M3" s="10"/>
      <c r="N3" s="9">
        <v>43142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405.25</v>
      </c>
      <c r="E4" s="12"/>
      <c r="F4" s="12"/>
      <c r="G4" s="12"/>
      <c r="H4" s="12">
        <f>920.05-405.25+25.15</f>
        <v>539.94999999999993</v>
      </c>
      <c r="I4" s="12">
        <v>1005.68</v>
      </c>
      <c r="J4" s="12"/>
      <c r="K4" s="12"/>
      <c r="L4" s="12"/>
      <c r="M4" s="12"/>
      <c r="N4" s="12"/>
      <c r="O4" s="12">
        <f>B4+D4+F4+H4+J4+L4+N4</f>
        <v>945.19999999999993</v>
      </c>
      <c r="P4" s="12">
        <f>C4+E4+G4+I4+K4+M4</f>
        <v>1005.68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f>218.45+19.6</f>
        <v>238.04999999999998</v>
      </c>
      <c r="E6" s="14">
        <v>349.7</v>
      </c>
      <c r="F6" s="14"/>
      <c r="G6" s="14"/>
      <c r="H6" s="14">
        <v>287.75</v>
      </c>
      <c r="I6" s="14">
        <v>100</v>
      </c>
      <c r="J6" s="14"/>
      <c r="K6" s="14"/>
      <c r="L6" s="14"/>
      <c r="M6" s="14"/>
      <c r="N6" s="14"/>
      <c r="O6" s="12">
        <f t="shared" si="0"/>
        <v>525.79999999999995</v>
      </c>
      <c r="P6" s="12">
        <f t="shared" si="1"/>
        <v>449.7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91.8</v>
      </c>
      <c r="G7" s="14">
        <v>390.08</v>
      </c>
      <c r="H7" s="14"/>
      <c r="I7" s="14"/>
      <c r="J7" s="14">
        <f>304.35-91.8</f>
        <v>212.55</v>
      </c>
      <c r="K7" s="14">
        <f>390.08+322.61</f>
        <v>712.69</v>
      </c>
      <c r="L7" s="14"/>
      <c r="M7" s="14"/>
      <c r="N7" s="14"/>
      <c r="O7" s="12">
        <f t="shared" si="0"/>
        <v>304.35000000000002</v>
      </c>
      <c r="P7" s="12">
        <f t="shared" si="1"/>
        <v>1102.77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219.8</v>
      </c>
      <c r="I9" s="14">
        <v>225.57</v>
      </c>
      <c r="J9" s="14"/>
      <c r="K9" s="14"/>
      <c r="L9" s="14"/>
      <c r="M9" s="14"/>
      <c r="N9" s="14"/>
      <c r="O9" s="12">
        <f t="shared" si="0"/>
        <v>219.8</v>
      </c>
      <c r="P9" s="12">
        <f t="shared" si="1"/>
        <v>225.57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F13" s="14"/>
      <c r="G13" s="14"/>
      <c r="H13" s="14"/>
      <c r="I13" s="14"/>
      <c r="J13" s="14">
        <v>427.3</v>
      </c>
      <c r="K13" s="14"/>
      <c r="L13" s="14"/>
      <c r="M13" s="14"/>
      <c r="N13" s="14"/>
      <c r="O13" s="12">
        <f t="shared" si="0"/>
        <v>427.3</v>
      </c>
      <c r="P13" s="12">
        <f>C13+D13+G13+I13+K13+M13</f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159</v>
      </c>
      <c r="K14" s="14"/>
      <c r="L14" s="14"/>
      <c r="M14" s="14"/>
      <c r="N14" s="14"/>
      <c r="O14" s="12">
        <f t="shared" si="0"/>
        <v>159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223.5</v>
      </c>
      <c r="E15" s="14">
        <v>414.21</v>
      </c>
      <c r="F15" s="14"/>
      <c r="G15" s="14"/>
      <c r="H15" s="14">
        <v>423.7</v>
      </c>
      <c r="I15" s="14"/>
      <c r="J15" s="14"/>
      <c r="K15" s="14"/>
      <c r="L15" s="14"/>
      <c r="M15" s="14"/>
      <c r="N15" s="14"/>
      <c r="O15" s="12">
        <f t="shared" si="0"/>
        <v>647.20000000000005</v>
      </c>
      <c r="P15" s="12">
        <f t="shared" si="1"/>
        <v>414.21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>
        <f>179.2+12.34</f>
        <v>191.54</v>
      </c>
      <c r="I16" s="14">
        <f>268.18+100</f>
        <v>368.18</v>
      </c>
      <c r="J16" s="14"/>
      <c r="K16" s="14"/>
      <c r="L16" s="14"/>
      <c r="M16" s="14"/>
      <c r="N16" s="14"/>
      <c r="O16" s="12">
        <f t="shared" si="0"/>
        <v>191.54</v>
      </c>
      <c r="P16" s="12">
        <f t="shared" si="1"/>
        <v>368.18</v>
      </c>
    </row>
    <row r="17" spans="1:16" ht="18.75" x14ac:dyDescent="0.3">
      <c r="A17" s="18" t="s">
        <v>23</v>
      </c>
      <c r="B17" s="13"/>
      <c r="C17" s="14"/>
      <c r="D17" s="14">
        <v>115.7</v>
      </c>
      <c r="E17" s="14"/>
      <c r="F17" s="14"/>
      <c r="G17" s="14"/>
      <c r="H17" s="14">
        <v>103.7</v>
      </c>
      <c r="I17" s="14"/>
      <c r="J17" s="14"/>
      <c r="K17" s="14"/>
      <c r="L17" s="14"/>
      <c r="M17" s="14"/>
      <c r="N17" s="14"/>
      <c r="O17" s="12">
        <f t="shared" si="0"/>
        <v>219.4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62.7</v>
      </c>
      <c r="G18" s="14"/>
      <c r="H18" s="14"/>
      <c r="I18" s="14"/>
      <c r="J18" s="14">
        <f>382.15-62.7</f>
        <v>319.45</v>
      </c>
      <c r="K18" s="14"/>
      <c r="L18" s="14"/>
      <c r="M18" s="14"/>
      <c r="N18" s="14"/>
      <c r="O18" s="12">
        <f t="shared" si="0"/>
        <v>382.15</v>
      </c>
      <c r="P18" s="12">
        <f t="shared" si="1"/>
        <v>0</v>
      </c>
    </row>
    <row r="19" spans="1:16" ht="18.75" x14ac:dyDescent="0.3">
      <c r="A19" s="20" t="s">
        <v>196</v>
      </c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>
        <v>600</v>
      </c>
      <c r="M19" s="14"/>
      <c r="N19" s="14"/>
      <c r="O19" s="12">
        <f t="shared" si="0"/>
        <v>600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174</v>
      </c>
      <c r="G23" s="17">
        <v>174</v>
      </c>
      <c r="H23" s="17">
        <v>65</v>
      </c>
      <c r="I23" s="17">
        <v>65</v>
      </c>
      <c r="J23" s="17">
        <v>134.75</v>
      </c>
      <c r="K23" s="17">
        <v>134.75</v>
      </c>
      <c r="L23" s="17"/>
      <c r="M23" s="17"/>
      <c r="N23" s="17"/>
      <c r="O23" s="49">
        <f t="shared" si="0"/>
        <v>373.75</v>
      </c>
      <c r="P23" s="49">
        <f t="shared" si="1"/>
        <v>373.75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982.5</v>
      </c>
      <c r="E24" s="21">
        <f t="shared" si="2"/>
        <v>763.91</v>
      </c>
      <c r="F24" s="21">
        <f t="shared" si="2"/>
        <v>328.5</v>
      </c>
      <c r="G24" s="21">
        <f t="shared" si="2"/>
        <v>564.07999999999993</v>
      </c>
      <c r="H24" s="21">
        <f t="shared" si="2"/>
        <v>1831.44</v>
      </c>
      <c r="I24" s="21">
        <f t="shared" si="2"/>
        <v>1764.4299999999998</v>
      </c>
      <c r="J24" s="21">
        <f t="shared" si="2"/>
        <v>1253.05</v>
      </c>
      <c r="K24" s="21">
        <f t="shared" si="2"/>
        <v>847.44</v>
      </c>
      <c r="L24" s="21">
        <f t="shared" si="2"/>
        <v>600</v>
      </c>
      <c r="M24" s="21">
        <f t="shared" si="2"/>
        <v>0</v>
      </c>
      <c r="N24" s="21">
        <f t="shared" si="2"/>
        <v>0</v>
      </c>
      <c r="O24" s="50">
        <f t="shared" si="2"/>
        <v>4995.49</v>
      </c>
      <c r="P24" s="50">
        <f t="shared" si="2"/>
        <v>3939.8599999999997</v>
      </c>
    </row>
    <row r="25" spans="1:16" ht="15.75" thickBot="1" x14ac:dyDescent="0.3">
      <c r="B25" t="s">
        <v>130</v>
      </c>
      <c r="N25" t="s">
        <v>55</v>
      </c>
      <c r="O25" s="50">
        <f>SUM(B24+D24+F24+H24+J24+L24+N24)</f>
        <v>4995.49</v>
      </c>
      <c r="P25" s="50">
        <f>SUM(C24+E24+G24+I24+K24+M24)</f>
        <v>3939.8599999999997</v>
      </c>
    </row>
    <row r="26" spans="1:16" ht="15.75" thickBot="1" x14ac:dyDescent="0.3">
      <c r="A26" t="s">
        <v>27</v>
      </c>
      <c r="B26" s="22">
        <f>O24</f>
        <v>4995.49</v>
      </c>
      <c r="D26" s="5" t="s">
        <v>30</v>
      </c>
      <c r="E26" s="47">
        <f>B50*1.5</f>
        <v>13682.753399999998</v>
      </c>
    </row>
    <row r="27" spans="1:16" x14ac:dyDescent="0.25">
      <c r="A27" t="s">
        <v>28</v>
      </c>
      <c r="B27" s="22">
        <f>P24</f>
        <v>3939.8599999999997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4995.49</v>
      </c>
      <c r="H32" s="37"/>
      <c r="I32" s="26" t="s">
        <v>50</v>
      </c>
      <c r="J32" s="44">
        <f>'Sem 05'!J32+'Sem 06'!F32</f>
        <v>8856.86</v>
      </c>
      <c r="L32" s="37"/>
      <c r="M32" s="27" t="s">
        <v>50</v>
      </c>
      <c r="N32" s="45">
        <f>'Sem 05'!N32+'Sem 06'!F32</f>
        <v>21713.15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9121.8355999999985</v>
      </c>
      <c r="H33" s="37"/>
      <c r="I33" s="26" t="s">
        <v>51</v>
      </c>
      <c r="J33" s="44">
        <f>'Sem 05'!J33+'Sem 06'!F33</f>
        <v>12845.712399999999</v>
      </c>
      <c r="L33" s="37"/>
      <c r="M33" s="27" t="s">
        <v>51</v>
      </c>
      <c r="N33" s="45">
        <f>'Sem 05'!N33+'Sem 06'!F33</f>
        <v>22494.595999999998</v>
      </c>
    </row>
    <row r="34" spans="1:14" x14ac:dyDescent="0.25">
      <c r="A34" t="s">
        <v>34</v>
      </c>
      <c r="B34" s="29">
        <f>IF(C34="","",(C34*1.16)+3.75+10)</f>
        <v>3661.08</v>
      </c>
      <c r="C34" s="35">
        <v>3144.25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>
        <f>IF(C35="","",(C35*1.16)+3.75+10)</f>
        <v>4183.5555999999997</v>
      </c>
      <c r="C35" s="36">
        <v>3594.66</v>
      </c>
      <c r="D35" s="37"/>
      <c r="E35" s="25" t="s">
        <v>52</v>
      </c>
      <c r="F35" s="42">
        <f>F32-F33</f>
        <v>-4126.3455999999987</v>
      </c>
      <c r="H35" s="37"/>
      <c r="I35" s="26" t="s">
        <v>52</v>
      </c>
      <c r="J35" s="44">
        <f>'Sem 05'!J35+'Sem 06'!F35</f>
        <v>-3988.8523999999989</v>
      </c>
      <c r="L35" s="37"/>
      <c r="M35" s="27" t="s">
        <v>52</v>
      </c>
      <c r="N35" s="45">
        <f>'Sem 05'!N35+'Sem 06'!F35</f>
        <v>-781.44599999999809</v>
      </c>
    </row>
    <row r="36" spans="1:14" x14ac:dyDescent="0.25">
      <c r="A36" t="s">
        <v>36</v>
      </c>
      <c r="B36" s="31">
        <v>966.4</v>
      </c>
      <c r="D36" s="37"/>
      <c r="E36" s="25" t="s">
        <v>53</v>
      </c>
      <c r="F36" s="43">
        <f>(F32-F33)/F33</f>
        <v>-0.45235912824388103</v>
      </c>
      <c r="H36" s="37"/>
      <c r="I36" s="26" t="s">
        <v>53</v>
      </c>
      <c r="J36" s="52">
        <f>(J32-J33)/J33</f>
        <v>-0.31052013899984232</v>
      </c>
      <c r="L36" s="37"/>
      <c r="M36" s="27" t="s">
        <v>53</v>
      </c>
      <c r="N36" s="53">
        <f>(N32-N33)/N33</f>
        <v>-3.4739276935669187E-2</v>
      </c>
    </row>
    <row r="37" spans="1:14" x14ac:dyDescent="0.25">
      <c r="A37" t="s">
        <v>37</v>
      </c>
      <c r="B37" s="31">
        <v>310.8</v>
      </c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 t="s">
        <v>191</v>
      </c>
      <c r="F43" t="s">
        <v>192</v>
      </c>
      <c r="G43">
        <v>13670</v>
      </c>
      <c r="H43" s="37"/>
      <c r="L43" s="37"/>
    </row>
    <row r="44" spans="1:14" x14ac:dyDescent="0.25">
      <c r="A44" s="6"/>
      <c r="B44" s="21"/>
      <c r="D44" s="37"/>
      <c r="F44" t="s">
        <v>193</v>
      </c>
      <c r="G44">
        <v>14973</v>
      </c>
      <c r="H44" s="37"/>
      <c r="L44" s="37"/>
    </row>
    <row r="45" spans="1:14" x14ac:dyDescent="0.25">
      <c r="A45" s="6"/>
      <c r="B45" s="21"/>
      <c r="D45" s="37"/>
      <c r="F45" t="s">
        <v>194</v>
      </c>
      <c r="G45">
        <v>28643</v>
      </c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4995.49</v>
      </c>
      <c r="L48" s="37"/>
    </row>
    <row r="49" spans="1:12" ht="15.75" thickBot="1" x14ac:dyDescent="0.3">
      <c r="B49" s="21"/>
      <c r="D49" s="37"/>
      <c r="G49" s="40">
        <v>3858.99</v>
      </c>
      <c r="H49" s="37"/>
      <c r="L49" s="37"/>
    </row>
    <row r="50" spans="1:12" ht="15.75" thickBot="1" x14ac:dyDescent="0.3">
      <c r="A50" t="s">
        <v>42</v>
      </c>
      <c r="B50" s="33">
        <f>SUM(B33:B48)</f>
        <v>9121.8355999999985</v>
      </c>
      <c r="D50" s="37"/>
      <c r="G50" s="40">
        <v>4213.9399999999996</v>
      </c>
      <c r="H50" s="37"/>
      <c r="I50" t="s">
        <v>62</v>
      </c>
      <c r="J50">
        <v>4014.74</v>
      </c>
      <c r="K50" s="41">
        <f>J50/K48</f>
        <v>0.80367291296749666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980.75</v>
      </c>
      <c r="K51" s="41">
        <f>J51/K48</f>
        <v>0.19632708703250332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x14ac:dyDescent="0.25">
      <c r="A53" s="6" t="s">
        <v>188</v>
      </c>
      <c r="B53" s="21">
        <v>9.35</v>
      </c>
      <c r="D53" s="37"/>
      <c r="E53" t="s">
        <v>58</v>
      </c>
      <c r="G53" s="40"/>
      <c r="H53" s="37"/>
      <c r="L53" s="37"/>
    </row>
    <row r="54" spans="1:12" x14ac:dyDescent="0.25">
      <c r="A54" s="79" t="s">
        <v>189</v>
      </c>
      <c r="B54" s="65">
        <f>B37*16%</f>
        <v>49.728000000000002</v>
      </c>
      <c r="D54" s="37"/>
      <c r="E54" t="s">
        <v>59</v>
      </c>
      <c r="G54" s="40"/>
      <c r="H54" s="37"/>
      <c r="L54" s="37"/>
    </row>
    <row r="55" spans="1:12" ht="15.75" thickBot="1" x14ac:dyDescent="0.3">
      <c r="D55" s="37"/>
      <c r="E55" t="s">
        <v>60</v>
      </c>
      <c r="G55" s="40"/>
      <c r="H55" s="37"/>
      <c r="L55" s="37"/>
    </row>
    <row r="56" spans="1:12" ht="15.75" thickBot="1" x14ac:dyDescent="0.3">
      <c r="A56" t="s">
        <v>44</v>
      </c>
      <c r="B56" s="33">
        <v>5464.88</v>
      </c>
      <c r="D56" s="37"/>
      <c r="H56" s="37"/>
      <c r="L56" s="37"/>
    </row>
    <row r="57" spans="1:12" ht="15.75" thickBot="1" x14ac:dyDescent="0.3">
      <c r="A57" t="s">
        <v>45</v>
      </c>
      <c r="B57" s="21">
        <f>'Sem 05'!B56</f>
        <v>4571.68</v>
      </c>
    </row>
    <row r="58" spans="1:12" ht="16.5" thickBot="1" x14ac:dyDescent="0.3">
      <c r="B58" s="21"/>
      <c r="D58" t="s">
        <v>195</v>
      </c>
      <c r="E58" t="s">
        <v>65</v>
      </c>
      <c r="G58" s="48">
        <f>SUM(G48:G50)+SUM(G53:G55)</f>
        <v>8072.9299999999994</v>
      </c>
    </row>
    <row r="59" spans="1:12" x14ac:dyDescent="0.25">
      <c r="A59" t="s">
        <v>46</v>
      </c>
      <c r="B59" s="21">
        <f>B56-B57</f>
        <v>893.19999999999982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59999389629810485"/>
    <pageSetUpPr fitToPage="1"/>
  </sheetPr>
  <dimension ref="A1:Q60"/>
  <sheetViews>
    <sheetView topLeftCell="A27" workbookViewId="0">
      <selection activeCell="A53" sqref="A53:A54"/>
    </sheetView>
  </sheetViews>
  <sheetFormatPr baseColWidth="10" defaultRowHeight="15" x14ac:dyDescent="0.25"/>
  <cols>
    <col min="1" max="1" width="22.7109375" customWidth="1"/>
    <col min="2" max="2" width="12.4257812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5" width="12" bestFit="1" customWidth="1"/>
    <col min="17" max="17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43143</v>
      </c>
      <c r="C3" s="10"/>
      <c r="D3" s="9">
        <v>43144</v>
      </c>
      <c r="E3" s="10"/>
      <c r="F3" s="9">
        <v>43145</v>
      </c>
      <c r="G3" s="10"/>
      <c r="H3" s="9">
        <v>43146</v>
      </c>
      <c r="I3" s="10"/>
      <c r="J3" s="9">
        <v>43147</v>
      </c>
      <c r="K3" s="10"/>
      <c r="L3" s="9">
        <v>43148</v>
      </c>
      <c r="M3" s="10"/>
      <c r="N3" s="9">
        <v>43149</v>
      </c>
      <c r="O3" s="10"/>
      <c r="P3" s="10"/>
    </row>
    <row r="4" spans="1:16" ht="19.5" thickTop="1" x14ac:dyDescent="0.3">
      <c r="A4" s="18" t="s">
        <v>10</v>
      </c>
      <c r="B4" s="11">
        <f>13.6+672.2+65.15</f>
        <v>750.95</v>
      </c>
      <c r="C4" s="12"/>
      <c r="D4" s="12">
        <f>1543.05</f>
        <v>1543.05</v>
      </c>
      <c r="E4" s="12"/>
      <c r="F4" s="12">
        <v>210</v>
      </c>
      <c r="G4" s="12"/>
      <c r="H4" s="12">
        <v>90</v>
      </c>
      <c r="I4" s="12"/>
      <c r="J4" s="12"/>
      <c r="K4" s="12"/>
      <c r="L4" s="12"/>
      <c r="M4" s="12"/>
      <c r="N4" s="12"/>
      <c r="O4" s="12">
        <f>B4+D4+F4+H4+J4+L4+N4</f>
        <v>2594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>
        <v>144.75</v>
      </c>
      <c r="E5" s="14"/>
      <c r="F5" s="14"/>
      <c r="G5" s="14"/>
      <c r="H5" s="14">
        <v>72.5</v>
      </c>
      <c r="I5" s="14"/>
      <c r="J5" s="14"/>
      <c r="K5" s="14"/>
      <c r="L5" s="14"/>
      <c r="M5" s="14"/>
      <c r="N5" s="14"/>
      <c r="O5" s="12">
        <f t="shared" ref="O5:O23" si="0">B5+D5+F5+H5+J5+L5+N5</f>
        <v>217.25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>
        <v>475.5</v>
      </c>
      <c r="C6" s="14"/>
      <c r="D6" s="14">
        <v>285.5</v>
      </c>
      <c r="E6" s="14">
        <v>200</v>
      </c>
      <c r="F6" s="14"/>
      <c r="G6" s="14"/>
      <c r="H6" s="14">
        <v>318.5</v>
      </c>
      <c r="I6" s="14">
        <v>680.47</v>
      </c>
      <c r="J6" s="14"/>
      <c r="K6" s="14"/>
      <c r="L6" s="14"/>
      <c r="M6" s="14"/>
      <c r="N6" s="14"/>
      <c r="O6" s="12">
        <f t="shared" si="0"/>
        <v>1079.5</v>
      </c>
      <c r="P6" s="12">
        <f t="shared" si="1"/>
        <v>880.47</v>
      </c>
    </row>
    <row r="7" spans="1:16" ht="18.75" x14ac:dyDescent="0.3">
      <c r="A7" s="18" t="s">
        <v>13</v>
      </c>
      <c r="B7" s="13">
        <f>558.1+78</f>
        <v>636.1</v>
      </c>
      <c r="C7" s="14"/>
      <c r="D7" s="14"/>
      <c r="E7" s="14"/>
      <c r="F7" s="14">
        <f>462+261.25</f>
        <v>723.25</v>
      </c>
      <c r="G7" s="14"/>
      <c r="H7" s="14"/>
      <c r="I7" s="14"/>
      <c r="J7" s="14">
        <f>1463.35-462-558.1-261.25</f>
        <v>181.99999999999989</v>
      </c>
      <c r="K7" s="14">
        <v>1645.53</v>
      </c>
      <c r="L7" s="14"/>
      <c r="M7" s="14"/>
      <c r="N7" s="14"/>
      <c r="O7" s="12">
        <f t="shared" si="0"/>
        <v>1541.35</v>
      </c>
      <c r="P7" s="12">
        <f t="shared" si="1"/>
        <v>1645.53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>
        <v>90</v>
      </c>
      <c r="C9" s="14"/>
      <c r="D9" s="14">
        <f>287.3+184.8</f>
        <v>472.1</v>
      </c>
      <c r="E9" s="14"/>
      <c r="F9" s="14">
        <v>307</v>
      </c>
      <c r="G9" s="14"/>
      <c r="H9" s="14">
        <f>79+181.9</f>
        <v>260.89999999999998</v>
      </c>
      <c r="I9" s="14"/>
      <c r="J9" s="14"/>
      <c r="K9" s="14"/>
      <c r="L9" s="14"/>
      <c r="M9" s="14"/>
      <c r="N9" s="14"/>
      <c r="O9" s="12">
        <f t="shared" si="0"/>
        <v>1130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>
        <v>1435</v>
      </c>
      <c r="M13" s="14"/>
      <c r="N13" s="14"/>
      <c r="O13" s="12">
        <f t="shared" si="0"/>
        <v>1435</v>
      </c>
      <c r="P13" s="12">
        <f t="shared" si="1"/>
        <v>0</v>
      </c>
    </row>
    <row r="14" spans="1:16" ht="18.75" x14ac:dyDescent="0.3">
      <c r="A14" s="19" t="s">
        <v>20</v>
      </c>
      <c r="B14" s="13">
        <v>189</v>
      </c>
      <c r="C14" s="14"/>
      <c r="D14" s="14"/>
      <c r="E14" s="14"/>
      <c r="F14" s="14">
        <v>75.7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264.7</v>
      </c>
      <c r="P14" s="12">
        <f t="shared" si="1"/>
        <v>0</v>
      </c>
    </row>
    <row r="15" spans="1:16" ht="18.75" x14ac:dyDescent="0.3">
      <c r="A15" s="19" t="s">
        <v>21</v>
      </c>
      <c r="B15" s="13">
        <v>515.29999999999995</v>
      </c>
      <c r="C15" s="14"/>
      <c r="D15" s="14">
        <v>900</v>
      </c>
      <c r="E15" s="14"/>
      <c r="F15" s="14">
        <v>319.2</v>
      </c>
      <c r="G15" s="14"/>
      <c r="H15" s="14"/>
      <c r="I15" s="14"/>
      <c r="J15" s="14"/>
      <c r="K15" s="14"/>
      <c r="L15" s="14"/>
      <c r="M15" s="14"/>
      <c r="N15" s="14"/>
      <c r="O15" s="12">
        <f t="shared" si="0"/>
        <v>1734.5</v>
      </c>
      <c r="P15" s="12">
        <f t="shared" si="1"/>
        <v>0</v>
      </c>
    </row>
    <row r="16" spans="1:16" ht="18.75" x14ac:dyDescent="0.3">
      <c r="A16" s="19" t="s">
        <v>22</v>
      </c>
      <c r="B16" s="13">
        <v>304.25</v>
      </c>
      <c r="C16" s="14"/>
      <c r="D16" s="14">
        <v>217.25</v>
      </c>
      <c r="E16" s="14">
        <v>204.88</v>
      </c>
      <c r="F16" s="14">
        <f>118+39</f>
        <v>157</v>
      </c>
      <c r="G16" s="14"/>
      <c r="H16" s="14"/>
      <c r="I16" s="14"/>
      <c r="J16" s="14"/>
      <c r="K16" s="14"/>
      <c r="L16" s="14"/>
      <c r="M16" s="14"/>
      <c r="N16" s="14"/>
      <c r="O16" s="12">
        <f t="shared" si="0"/>
        <v>678.5</v>
      </c>
      <c r="P16" s="12">
        <f t="shared" si="1"/>
        <v>204.88</v>
      </c>
    </row>
    <row r="17" spans="1:16" ht="18.75" x14ac:dyDescent="0.3">
      <c r="A17" s="18" t="s">
        <v>23</v>
      </c>
      <c r="B17" s="13"/>
      <c r="C17" s="14"/>
      <c r="D17" s="14">
        <v>636.25</v>
      </c>
      <c r="E17" s="14"/>
      <c r="F17" s="14"/>
      <c r="G17" s="14"/>
      <c r="H17" s="14">
        <v>118.9</v>
      </c>
      <c r="I17" s="14"/>
      <c r="J17" s="14"/>
      <c r="K17" s="14"/>
      <c r="L17" s="14"/>
      <c r="M17" s="14"/>
      <c r="N17" s="14"/>
      <c r="O17" s="12">
        <f t="shared" si="0"/>
        <v>755.15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96.5</v>
      </c>
      <c r="G18" s="14"/>
      <c r="H18" s="14"/>
      <c r="I18" s="14"/>
      <c r="J18" s="14">
        <f>994.45-45.5</f>
        <v>948.95</v>
      </c>
      <c r="K18" s="14">
        <v>405.08</v>
      </c>
      <c r="L18" s="14"/>
      <c r="M18" s="14"/>
      <c r="N18" s="14"/>
      <c r="O18" s="12">
        <f t="shared" si="0"/>
        <v>1045.45</v>
      </c>
      <c r="P18" s="12">
        <f t="shared" si="1"/>
        <v>405.08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115</v>
      </c>
      <c r="I23" s="17">
        <v>115</v>
      </c>
      <c r="J23" s="17">
        <v>223.3</v>
      </c>
      <c r="K23" s="17">
        <v>223.3</v>
      </c>
      <c r="L23" s="17"/>
      <c r="M23" s="17"/>
      <c r="N23" s="17"/>
      <c r="O23" s="49">
        <f t="shared" si="0"/>
        <v>338.3</v>
      </c>
      <c r="P23" s="49">
        <f t="shared" si="1"/>
        <v>338.3</v>
      </c>
    </row>
    <row r="24" spans="1:16" x14ac:dyDescent="0.25">
      <c r="A24" t="s">
        <v>54</v>
      </c>
      <c r="B24" s="21">
        <f>SUM(B4:B23)</f>
        <v>2961.1000000000004</v>
      </c>
      <c r="C24" s="21">
        <f t="shared" ref="C24:P24" si="2">SUM(C4:C23)</f>
        <v>0</v>
      </c>
      <c r="D24" s="21">
        <f t="shared" si="2"/>
        <v>4198.8999999999996</v>
      </c>
      <c r="E24" s="21">
        <f t="shared" si="2"/>
        <v>404.88</v>
      </c>
      <c r="F24" s="21">
        <f t="shared" si="2"/>
        <v>1888.65</v>
      </c>
      <c r="G24" s="21">
        <f t="shared" si="2"/>
        <v>0</v>
      </c>
      <c r="H24" s="21">
        <f t="shared" si="2"/>
        <v>975.8</v>
      </c>
      <c r="I24" s="21">
        <f t="shared" si="2"/>
        <v>795.47</v>
      </c>
      <c r="J24" s="21">
        <f t="shared" si="2"/>
        <v>1354.2499999999998</v>
      </c>
      <c r="K24" s="21">
        <f t="shared" si="2"/>
        <v>2273.9100000000003</v>
      </c>
      <c r="L24" s="21">
        <f t="shared" si="2"/>
        <v>1435</v>
      </c>
      <c r="M24" s="21">
        <f t="shared" si="2"/>
        <v>0</v>
      </c>
      <c r="N24" s="21">
        <f t="shared" si="2"/>
        <v>0</v>
      </c>
      <c r="O24" s="50">
        <f t="shared" si="2"/>
        <v>12813.7</v>
      </c>
      <c r="P24" s="50">
        <f t="shared" si="2"/>
        <v>3474.26</v>
      </c>
    </row>
    <row r="25" spans="1:16" ht="15.75" thickBot="1" x14ac:dyDescent="0.3">
      <c r="N25" t="s">
        <v>55</v>
      </c>
      <c r="O25" s="50">
        <f>SUM(B24+D24+F24+H24+J24+L24+N24)</f>
        <v>12813.699999999999</v>
      </c>
      <c r="P25" s="50">
        <f>SUM(C24+E24+G24+I24+K24+M24)</f>
        <v>3474.26</v>
      </c>
    </row>
    <row r="26" spans="1:16" ht="15.75" thickBot="1" x14ac:dyDescent="0.3">
      <c r="A26" t="s">
        <v>27</v>
      </c>
      <c r="B26" s="22">
        <f>O24</f>
        <v>12813.7</v>
      </c>
      <c r="D26" s="5" t="s">
        <v>30</v>
      </c>
      <c r="E26" s="47">
        <f>B50*1.5</f>
        <v>8691.893399999999</v>
      </c>
    </row>
    <row r="27" spans="1:16" x14ac:dyDescent="0.25">
      <c r="A27" t="s">
        <v>28</v>
      </c>
      <c r="B27" s="22">
        <f>P24</f>
        <v>3474.26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112">
        <f>O24</f>
        <v>12813.7</v>
      </c>
      <c r="H32" s="37"/>
      <c r="I32" s="26" t="s">
        <v>50</v>
      </c>
      <c r="J32" s="44">
        <f>'Sem 06'!J32+'Sem 07'!F32</f>
        <v>21670.560000000001</v>
      </c>
      <c r="L32" s="37"/>
      <c r="M32" s="27" t="s">
        <v>50</v>
      </c>
      <c r="N32" s="45">
        <f>'Sem 06'!N32+'Sem 07'!F32</f>
        <v>34526.850000000006</v>
      </c>
    </row>
    <row r="33" spans="1:17" x14ac:dyDescent="0.25">
      <c r="A33" t="s">
        <v>33</v>
      </c>
      <c r="B33" s="28">
        <f>IF(C33="","",(C33*1.16)+3.75+10)</f>
        <v>2352.3215999999998</v>
      </c>
      <c r="C33" s="34">
        <v>2016.01</v>
      </c>
      <c r="D33" s="37"/>
      <c r="E33" s="25" t="s">
        <v>51</v>
      </c>
      <c r="F33" s="42">
        <f>B50</f>
        <v>5794.5955999999996</v>
      </c>
      <c r="H33" s="37"/>
      <c r="I33" s="26" t="s">
        <v>51</v>
      </c>
      <c r="J33" s="44">
        <f>'Sem 06'!J33+'Sem 07'!F33</f>
        <v>18640.307999999997</v>
      </c>
      <c r="L33" s="37"/>
      <c r="M33" s="27" t="s">
        <v>51</v>
      </c>
      <c r="N33" s="45">
        <f>'Sem 06'!N33+'Sem 07'!F33</f>
        <v>28289.191599999998</v>
      </c>
    </row>
    <row r="34" spans="1:17" x14ac:dyDescent="0.25">
      <c r="A34" t="s">
        <v>34</v>
      </c>
      <c r="B34" s="29">
        <f>IF(C34="","",(C34*1.16)+3.75+10)</f>
        <v>918.72399999999993</v>
      </c>
      <c r="C34" s="35">
        <v>780.15</v>
      </c>
      <c r="D34" s="37"/>
      <c r="E34" s="25"/>
      <c r="F34" s="25"/>
      <c r="H34" s="37"/>
      <c r="I34" s="26"/>
      <c r="J34" s="44"/>
      <c r="L34" s="37"/>
      <c r="M34" s="27"/>
      <c r="N34" s="45">
        <f>'Sem 06'!N34+'Sem 07'!F34</f>
        <v>0</v>
      </c>
    </row>
    <row r="35" spans="1:17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7019.1044000000011</v>
      </c>
      <c r="H35" s="37"/>
      <c r="I35" s="26" t="s">
        <v>52</v>
      </c>
      <c r="J35" s="44">
        <f>'Sem 06'!J35+'Sem 07'!F35</f>
        <v>3030.2520000000022</v>
      </c>
      <c r="L35" s="37"/>
      <c r="M35" s="27" t="s">
        <v>52</v>
      </c>
      <c r="N35" s="45">
        <f>'Sem 06'!N35+'Sem 07'!F35</f>
        <v>6237.658400000003</v>
      </c>
    </row>
    <row r="36" spans="1:17" x14ac:dyDescent="0.25">
      <c r="A36" t="s">
        <v>36</v>
      </c>
      <c r="B36" s="31">
        <v>1858.05</v>
      </c>
      <c r="D36" s="37"/>
      <c r="E36" s="25" t="s">
        <v>53</v>
      </c>
      <c r="F36" s="43">
        <f>(F32-F33)/F33</f>
        <v>1.2113191125882885</v>
      </c>
      <c r="H36" s="37"/>
      <c r="I36" s="26" t="s">
        <v>53</v>
      </c>
      <c r="J36" s="52">
        <f>(J32-J33)/J33</f>
        <v>0.16256448123067518</v>
      </c>
      <c r="L36" s="37"/>
      <c r="M36" s="27" t="s">
        <v>53</v>
      </c>
      <c r="N36" s="53">
        <f>(N32-N33)/N33</f>
        <v>0.22049616999306576</v>
      </c>
    </row>
    <row r="37" spans="1:17" x14ac:dyDescent="0.25">
      <c r="A37" t="s">
        <v>37</v>
      </c>
      <c r="B37" s="31"/>
      <c r="D37" s="37"/>
      <c r="H37" s="37"/>
      <c r="L37" s="37"/>
    </row>
    <row r="38" spans="1:17" ht="15.75" thickBot="1" x14ac:dyDescent="0.3">
      <c r="A38" t="s">
        <v>201</v>
      </c>
      <c r="B38" s="32">
        <v>665.5</v>
      </c>
      <c r="D38" s="37"/>
      <c r="H38" s="37"/>
      <c r="L38" s="37"/>
    </row>
    <row r="39" spans="1:17" x14ac:dyDescent="0.25">
      <c r="B39" s="21"/>
      <c r="D39" s="37"/>
      <c r="H39" s="37"/>
      <c r="L39" s="37"/>
      <c r="M39" s="91"/>
      <c r="N39" s="92"/>
      <c r="O39" s="92"/>
      <c r="P39" s="92"/>
      <c r="Q39" s="93"/>
    </row>
    <row r="40" spans="1:17" x14ac:dyDescent="0.25">
      <c r="B40" s="21"/>
      <c r="D40" s="37"/>
      <c r="H40" s="37"/>
      <c r="L40" s="37"/>
      <c r="M40" s="94" t="s">
        <v>199</v>
      </c>
      <c r="N40" s="85"/>
      <c r="O40" s="85"/>
      <c r="P40" s="85" t="s">
        <v>200</v>
      </c>
      <c r="Q40" s="95"/>
    </row>
    <row r="41" spans="1:17" x14ac:dyDescent="0.25">
      <c r="B41" s="21"/>
      <c r="D41" s="37"/>
      <c r="H41" s="37"/>
      <c r="L41" s="37"/>
      <c r="M41" s="94"/>
      <c r="N41" s="85"/>
      <c r="O41" s="85"/>
      <c r="P41" s="85"/>
      <c r="Q41" s="95"/>
    </row>
    <row r="42" spans="1:17" x14ac:dyDescent="0.25">
      <c r="A42" s="2" t="s">
        <v>39</v>
      </c>
      <c r="B42" s="21"/>
      <c r="D42" s="37"/>
      <c r="H42" s="37"/>
      <c r="L42" s="37"/>
      <c r="M42" s="96" t="s">
        <v>50</v>
      </c>
      <c r="N42" s="42">
        <f>'Sem 06'!F32+'Sem 07'!F32</f>
        <v>17809.190000000002</v>
      </c>
      <c r="O42" s="85"/>
      <c r="P42" s="25" t="s">
        <v>50</v>
      </c>
      <c r="Q42" s="97">
        <f>[1]Sem006!$F$39+[1]Sem007!$F$39</f>
        <v>28644.690000000002</v>
      </c>
    </row>
    <row r="43" spans="1:17" x14ac:dyDescent="0.25">
      <c r="A43" t="s">
        <v>40</v>
      </c>
      <c r="B43" s="21"/>
      <c r="D43" s="37"/>
      <c r="H43" s="37"/>
      <c r="L43" s="37"/>
      <c r="M43" s="96" t="s">
        <v>51</v>
      </c>
      <c r="N43" s="42">
        <f>'Sem 06'!F33+'Sem 07'!F33</f>
        <v>14916.431199999999</v>
      </c>
      <c r="O43" s="85"/>
      <c r="P43" s="25" t="s">
        <v>51</v>
      </c>
      <c r="Q43" s="97">
        <f>[1]Sem006!$F$40+[1]Sem007!$F$40</f>
        <v>22737.551599999999</v>
      </c>
    </row>
    <row r="44" spans="1:17" x14ac:dyDescent="0.25">
      <c r="A44" s="6"/>
      <c r="B44" s="21"/>
      <c r="D44" s="37"/>
      <c r="H44" s="37"/>
      <c r="L44" s="37"/>
      <c r="M44" s="96"/>
      <c r="N44" s="42">
        <f>'Sem 06'!F34+'Sem 07'!F34</f>
        <v>0</v>
      </c>
      <c r="O44" s="85"/>
      <c r="P44" s="25"/>
      <c r="Q44" s="97"/>
    </row>
    <row r="45" spans="1:17" x14ac:dyDescent="0.25">
      <c r="A45" s="6"/>
      <c r="B45" s="21"/>
      <c r="D45" s="37"/>
      <c r="H45" s="37"/>
      <c r="L45" s="37"/>
      <c r="M45" s="96" t="s">
        <v>52</v>
      </c>
      <c r="N45" s="42">
        <f>'Sem 06'!F35+'Sem 07'!F35</f>
        <v>2892.7588000000023</v>
      </c>
      <c r="O45" s="85"/>
      <c r="P45" s="25" t="s">
        <v>52</v>
      </c>
      <c r="Q45" s="97">
        <f>Q42-Q43</f>
        <v>5907.1384000000035</v>
      </c>
    </row>
    <row r="46" spans="1:17" x14ac:dyDescent="0.25">
      <c r="A46" s="6"/>
      <c r="B46" s="21"/>
      <c r="D46" s="37"/>
      <c r="H46" s="37"/>
      <c r="L46" s="37"/>
      <c r="M46" s="96" t="s">
        <v>53</v>
      </c>
      <c r="N46" s="43">
        <f>(N42-N43)/N43</f>
        <v>0.19393102553913857</v>
      </c>
      <c r="O46" s="85"/>
      <c r="P46" s="25" t="s">
        <v>53</v>
      </c>
      <c r="Q46" s="98">
        <f>(Q42-Q43)/Q43</f>
        <v>0.25979659129173799</v>
      </c>
    </row>
    <row r="47" spans="1:17" x14ac:dyDescent="0.25">
      <c r="A47" s="6"/>
      <c r="B47" s="21"/>
      <c r="D47" s="37"/>
      <c r="H47" s="37"/>
      <c r="L47" s="37"/>
      <c r="M47" s="94"/>
      <c r="N47" s="85"/>
      <c r="O47" s="85"/>
      <c r="P47" s="85"/>
      <c r="Q47" s="95"/>
    </row>
    <row r="48" spans="1:17" ht="16.5" thickBot="1" x14ac:dyDescent="0.3">
      <c r="B48" s="21"/>
      <c r="D48" s="37"/>
      <c r="E48" t="s">
        <v>56</v>
      </c>
      <c r="G48" s="40">
        <v>2717.39</v>
      </c>
      <c r="H48" s="37"/>
      <c r="I48" s="38" t="s">
        <v>61</v>
      </c>
      <c r="J48" s="38"/>
      <c r="K48" s="39">
        <f>F32</f>
        <v>12813.7</v>
      </c>
      <c r="L48" s="37"/>
      <c r="M48" s="99"/>
      <c r="N48" s="100"/>
      <c r="O48" s="100"/>
      <c r="P48" s="100"/>
      <c r="Q48" s="101"/>
    </row>
    <row r="49" spans="1:17" ht="15.75" thickBot="1" x14ac:dyDescent="0.3">
      <c r="B49" s="21"/>
      <c r="D49" s="37"/>
      <c r="G49" s="40">
        <v>909.81</v>
      </c>
      <c r="H49" s="37"/>
      <c r="L49" s="37"/>
    </row>
    <row r="50" spans="1:17" ht="15.75" thickBot="1" x14ac:dyDescent="0.3">
      <c r="A50" t="s">
        <v>42</v>
      </c>
      <c r="B50" s="33">
        <f>SUM(B33:B48)</f>
        <v>5794.5955999999996</v>
      </c>
      <c r="D50" s="37"/>
      <c r="G50" s="40"/>
      <c r="H50" s="37"/>
      <c r="I50" t="s">
        <v>62</v>
      </c>
      <c r="J50">
        <v>11310.28</v>
      </c>
      <c r="K50" s="41">
        <f>J50/K48</f>
        <v>0.882670891311643</v>
      </c>
      <c r="L50" s="37"/>
    </row>
    <row r="51" spans="1:17" ht="15.75" x14ac:dyDescent="0.25">
      <c r="B51" s="21"/>
      <c r="D51" s="37"/>
      <c r="F51" t="s">
        <v>57</v>
      </c>
      <c r="G51" s="39">
        <f>SUM(G48:G50)</f>
        <v>3627.2</v>
      </c>
      <c r="H51" s="37"/>
      <c r="I51" t="s">
        <v>63</v>
      </c>
      <c r="J51" s="22">
        <f>K48-J50</f>
        <v>1503.42</v>
      </c>
      <c r="K51" s="41">
        <f>J51/K48</f>
        <v>0.117329108688357</v>
      </c>
      <c r="L51" s="37"/>
      <c r="M51" s="102" t="s">
        <v>202</v>
      </c>
      <c r="N51" s="103"/>
      <c r="O51" s="104">
        <f>N42-Q42</f>
        <v>-10835.5</v>
      </c>
      <c r="P51" s="103" t="s">
        <v>203</v>
      </c>
      <c r="Q51" s="105"/>
    </row>
    <row r="52" spans="1:17" x14ac:dyDescent="0.25">
      <c r="A52" t="s">
        <v>43</v>
      </c>
      <c r="B52" s="21"/>
      <c r="D52" s="37"/>
      <c r="H52" s="37"/>
      <c r="L52" s="37"/>
      <c r="M52" s="106" t="s">
        <v>204</v>
      </c>
      <c r="N52" s="85"/>
      <c r="O52" s="107">
        <f>N43-Q43</f>
        <v>-7821.1203999999998</v>
      </c>
      <c r="P52" s="85" t="s">
        <v>203</v>
      </c>
      <c r="Q52" s="108"/>
    </row>
    <row r="53" spans="1:17" x14ac:dyDescent="0.25">
      <c r="A53" s="6" t="s">
        <v>188</v>
      </c>
      <c r="B53" s="21">
        <v>9.35</v>
      </c>
      <c r="D53" s="37"/>
      <c r="E53" t="s">
        <v>58</v>
      </c>
      <c r="G53" s="40">
        <v>2306.92</v>
      </c>
      <c r="H53" s="37"/>
      <c r="L53" s="37"/>
      <c r="M53" s="106"/>
      <c r="N53" s="85"/>
      <c r="O53" s="85"/>
      <c r="P53" s="85"/>
      <c r="Q53" s="108"/>
    </row>
    <row r="54" spans="1:17" x14ac:dyDescent="0.25">
      <c r="A54" s="79" t="s">
        <v>189</v>
      </c>
      <c r="B54" s="65">
        <f>(B37+B38)*16%</f>
        <v>106.48</v>
      </c>
      <c r="C54" t="s">
        <v>206</v>
      </c>
      <c r="D54" s="37"/>
      <c r="E54" t="s">
        <v>59</v>
      </c>
      <c r="G54" s="40">
        <v>900.97</v>
      </c>
      <c r="H54" s="37"/>
      <c r="L54" s="37"/>
      <c r="M54" s="106" t="s">
        <v>205</v>
      </c>
      <c r="N54" s="85"/>
      <c r="O54" s="107">
        <f>N45-Q45</f>
        <v>-3014.3796000000011</v>
      </c>
      <c r="P54" s="85" t="s">
        <v>203</v>
      </c>
      <c r="Q54" s="108"/>
    </row>
    <row r="55" spans="1:17" ht="15.75" thickBot="1" x14ac:dyDescent="0.3">
      <c r="D55" s="37"/>
      <c r="E55" t="s">
        <v>60</v>
      </c>
      <c r="G55" s="40"/>
      <c r="H55" s="37"/>
      <c r="L55" s="37"/>
      <c r="M55" s="109"/>
      <c r="N55" s="110"/>
      <c r="O55" s="110"/>
      <c r="P55" s="110"/>
      <c r="Q55" s="111"/>
    </row>
    <row r="56" spans="1:17" ht="15.75" thickBot="1" x14ac:dyDescent="0.3">
      <c r="A56" t="s">
        <v>44</v>
      </c>
      <c r="B56" s="33">
        <v>13198.27</v>
      </c>
      <c r="D56" s="37"/>
      <c r="H56" s="37"/>
      <c r="L56" s="37"/>
    </row>
    <row r="57" spans="1:17" ht="15.75" thickBot="1" x14ac:dyDescent="0.3">
      <c r="A57" t="s">
        <v>45</v>
      </c>
      <c r="B57" s="21">
        <f>'Sem 06'!B56</f>
        <v>5464.88</v>
      </c>
    </row>
    <row r="58" spans="1:17" ht="16.5" thickBot="1" x14ac:dyDescent="0.3">
      <c r="B58" s="21"/>
      <c r="E58" t="s">
        <v>65</v>
      </c>
      <c r="G58" s="48">
        <f>SUM(G48:G50)+SUM(G53:G55)</f>
        <v>6835.09</v>
      </c>
    </row>
    <row r="59" spans="1:17" x14ac:dyDescent="0.25">
      <c r="A59" t="s">
        <v>46</v>
      </c>
      <c r="B59" s="21">
        <f>B56-B57</f>
        <v>7733.39</v>
      </c>
    </row>
    <row r="60" spans="1:17" x14ac:dyDescent="0.25">
      <c r="B60" t="s">
        <v>207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59999389629810485"/>
    <pageSetUpPr fitToPage="1"/>
  </sheetPr>
  <dimension ref="A1:V60"/>
  <sheetViews>
    <sheetView topLeftCell="A29" workbookViewId="0">
      <selection activeCell="N46" sqref="N46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43150</v>
      </c>
      <c r="C3" s="10"/>
      <c r="D3" s="9">
        <v>43151</v>
      </c>
      <c r="E3" s="10"/>
      <c r="F3" s="9">
        <v>43152</v>
      </c>
      <c r="G3" s="10"/>
      <c r="H3" s="9">
        <v>43153</v>
      </c>
      <c r="I3" s="10"/>
      <c r="J3" s="9">
        <v>43154</v>
      </c>
      <c r="K3" s="10"/>
      <c r="L3" s="9">
        <v>43155</v>
      </c>
      <c r="M3" s="10"/>
      <c r="N3" s="9">
        <v>43156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622</v>
      </c>
      <c r="E4" s="12"/>
      <c r="F4" s="12"/>
      <c r="G4" s="12"/>
      <c r="H4" s="12">
        <f>976.3-622+25.15</f>
        <v>379.44999999999993</v>
      </c>
      <c r="I4" s="12">
        <v>1065.31</v>
      </c>
      <c r="J4" s="12"/>
      <c r="K4" s="12"/>
      <c r="L4" s="12"/>
      <c r="M4" s="12"/>
      <c r="N4" s="12"/>
      <c r="O4" s="12">
        <f>B4+D4+F4+H4+J4+L4+N4</f>
        <v>1001.4499999999999</v>
      </c>
      <c r="P4" s="12">
        <f>C4+E4+G4+I4+K4+M4</f>
        <v>1065.31</v>
      </c>
    </row>
    <row r="5" spans="1:16" ht="18.75" x14ac:dyDescent="0.3">
      <c r="A5" s="18" t="s">
        <v>11</v>
      </c>
      <c r="B5" s="13"/>
      <c r="C5" s="14"/>
      <c r="D5" s="14">
        <v>113.5</v>
      </c>
      <c r="E5" s="14"/>
      <c r="F5" s="14"/>
      <c r="G5" s="14"/>
      <c r="H5" s="14">
        <v>83.25</v>
      </c>
      <c r="I5" s="14"/>
      <c r="J5" s="14"/>
      <c r="K5" s="14"/>
      <c r="L5" s="14"/>
      <c r="M5" s="14"/>
      <c r="N5" s="14"/>
      <c r="O5" s="12">
        <f t="shared" ref="O5:O23" si="0">B5+D5+F5+H5+J5+L5+N5</f>
        <v>196.75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322.75</v>
      </c>
      <c r="E6" s="14">
        <v>260.27999999999997</v>
      </c>
      <c r="F6" s="14"/>
      <c r="G6" s="14"/>
      <c r="H6" s="14">
        <v>152</v>
      </c>
      <c r="I6" s="14"/>
      <c r="J6" s="14"/>
      <c r="K6" s="14"/>
      <c r="L6" s="14"/>
      <c r="M6" s="14"/>
      <c r="N6" s="14"/>
      <c r="O6" s="12">
        <f t="shared" si="0"/>
        <v>474.75</v>
      </c>
      <c r="P6" s="12">
        <f t="shared" si="1"/>
        <v>260.27999999999997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240.5</v>
      </c>
      <c r="G7" s="14"/>
      <c r="H7" s="14"/>
      <c r="I7" s="14"/>
      <c r="J7" s="14">
        <f>566.25-240.5</f>
        <v>325.75</v>
      </c>
      <c r="K7" s="14">
        <v>600.23</v>
      </c>
      <c r="L7" s="14"/>
      <c r="M7" s="14"/>
      <c r="N7" s="14"/>
      <c r="O7" s="12">
        <f t="shared" si="0"/>
        <v>566.25</v>
      </c>
      <c r="P7" s="12">
        <f t="shared" si="1"/>
        <v>600.23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261.60000000000002</v>
      </c>
      <c r="I9" s="14">
        <v>894.11</v>
      </c>
      <c r="J9" s="14"/>
      <c r="K9" s="14"/>
      <c r="L9" s="14"/>
      <c r="M9" s="14"/>
      <c r="N9" s="14"/>
      <c r="O9" s="12">
        <f t="shared" si="0"/>
        <v>261.60000000000002</v>
      </c>
      <c r="P9" s="12">
        <f t="shared" si="1"/>
        <v>894.11</v>
      </c>
    </row>
    <row r="10" spans="1:16" ht="18.75" x14ac:dyDescent="0.3">
      <c r="A10" s="116" t="s">
        <v>16</v>
      </c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9">
        <f t="shared" si="0"/>
        <v>0</v>
      </c>
      <c r="P10" s="119">
        <f t="shared" si="1"/>
        <v>0</v>
      </c>
    </row>
    <row r="11" spans="1:16" ht="18.75" x14ac:dyDescent="0.3">
      <c r="A11" s="116" t="s">
        <v>17</v>
      </c>
      <c r="B11" s="117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9">
        <f t="shared" si="0"/>
        <v>0</v>
      </c>
      <c r="P11" s="119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592.5</v>
      </c>
      <c r="K13" s="14"/>
      <c r="L13" s="14"/>
      <c r="M13" s="14"/>
      <c r="N13" s="14"/>
      <c r="O13" s="12">
        <f t="shared" si="0"/>
        <v>592.5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74.5</v>
      </c>
      <c r="K14" s="14">
        <v>78.97</v>
      </c>
      <c r="L14" s="14"/>
      <c r="M14" s="14"/>
      <c r="N14" s="14"/>
      <c r="O14" s="12">
        <f t="shared" si="0"/>
        <v>74.5</v>
      </c>
      <c r="P14" s="12">
        <f t="shared" si="1"/>
        <v>78.97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f>196.7+23.09</f>
        <v>219.79</v>
      </c>
      <c r="I15" s="14"/>
      <c r="J15" s="14"/>
      <c r="K15" s="14"/>
      <c r="L15" s="14"/>
      <c r="M15" s="14"/>
      <c r="N15" s="14"/>
      <c r="O15" s="12">
        <f t="shared" si="0"/>
        <v>219.79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v>81.75</v>
      </c>
      <c r="E16" s="14">
        <v>711.94</v>
      </c>
      <c r="F16" s="14"/>
      <c r="G16" s="14"/>
      <c r="H16" s="14">
        <f>159+65.15</f>
        <v>224.15</v>
      </c>
      <c r="I16" s="14"/>
      <c r="J16" s="14"/>
      <c r="K16" s="14"/>
      <c r="L16" s="14"/>
      <c r="M16" s="14"/>
      <c r="N16" s="14"/>
      <c r="O16" s="12">
        <f t="shared" si="0"/>
        <v>305.89999999999998</v>
      </c>
      <c r="P16" s="12">
        <f t="shared" si="1"/>
        <v>711.94</v>
      </c>
    </row>
    <row r="17" spans="1:22" ht="18.75" x14ac:dyDescent="0.3">
      <c r="A17" s="18" t="s">
        <v>23</v>
      </c>
      <c r="B17" s="13"/>
      <c r="C17" s="14"/>
      <c r="D17" s="14">
        <v>190.9</v>
      </c>
      <c r="E17" s="14"/>
      <c r="F17" s="14"/>
      <c r="G17" s="14"/>
      <c r="H17" s="14">
        <v>125.2</v>
      </c>
      <c r="I17" s="14"/>
      <c r="J17" s="14"/>
      <c r="K17" s="14"/>
      <c r="L17" s="14"/>
      <c r="M17" s="14"/>
      <c r="N17" s="14"/>
      <c r="O17" s="12">
        <f t="shared" si="0"/>
        <v>316.10000000000002</v>
      </c>
      <c r="P17" s="12">
        <f t="shared" si="1"/>
        <v>0</v>
      </c>
    </row>
    <row r="18" spans="1:22" ht="18.75" x14ac:dyDescent="0.3">
      <c r="A18" s="18" t="s">
        <v>24</v>
      </c>
      <c r="B18" s="13"/>
      <c r="C18" s="14"/>
      <c r="D18" s="14"/>
      <c r="E18" s="14"/>
      <c r="F18" s="14">
        <v>119.5</v>
      </c>
      <c r="G18" s="14"/>
      <c r="H18" s="14"/>
      <c r="I18" s="14"/>
      <c r="J18" s="14">
        <f>246.8-119.5</f>
        <v>127.30000000000001</v>
      </c>
      <c r="K18" s="14"/>
      <c r="L18" s="14"/>
      <c r="M18" s="14"/>
      <c r="N18" s="14"/>
      <c r="O18" s="12">
        <f t="shared" si="0"/>
        <v>246.8</v>
      </c>
      <c r="P18" s="12">
        <f t="shared" si="1"/>
        <v>0</v>
      </c>
      <c r="V18" t="s">
        <v>130</v>
      </c>
    </row>
    <row r="19" spans="1:22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22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22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22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22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60</v>
      </c>
      <c r="I23" s="17">
        <v>60</v>
      </c>
      <c r="J23" s="17"/>
      <c r="K23" s="17"/>
      <c r="L23" s="17"/>
      <c r="M23" s="17"/>
      <c r="N23" s="17"/>
      <c r="O23" s="49">
        <f t="shared" si="0"/>
        <v>60</v>
      </c>
      <c r="P23" s="49">
        <f t="shared" si="1"/>
        <v>60</v>
      </c>
    </row>
    <row r="24" spans="1:22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1330.9</v>
      </c>
      <c r="E24" s="21">
        <f t="shared" si="2"/>
        <v>972.22</v>
      </c>
      <c r="F24" s="21">
        <f t="shared" si="2"/>
        <v>360</v>
      </c>
      <c r="G24" s="21">
        <f t="shared" si="2"/>
        <v>0</v>
      </c>
      <c r="H24" s="21">
        <f t="shared" si="2"/>
        <v>1505.44</v>
      </c>
      <c r="I24" s="21">
        <f t="shared" si="2"/>
        <v>2019.42</v>
      </c>
      <c r="J24" s="21">
        <f t="shared" si="2"/>
        <v>1120.05</v>
      </c>
      <c r="K24" s="21">
        <f t="shared" si="2"/>
        <v>679.2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4316.3899999999994</v>
      </c>
      <c r="P24" s="50">
        <f t="shared" si="2"/>
        <v>3670.8399999999997</v>
      </c>
    </row>
    <row r="25" spans="1:22" ht="15.75" thickBot="1" x14ac:dyDescent="0.3">
      <c r="N25" t="s">
        <v>55</v>
      </c>
      <c r="O25" s="50">
        <f>SUM(B24+D24+F24+H24+J24+L24+N24)</f>
        <v>4316.3900000000003</v>
      </c>
      <c r="P25" s="50">
        <f>SUM(C24+E24+G24+I24+K24+M24)</f>
        <v>3670.84</v>
      </c>
    </row>
    <row r="26" spans="1:22" ht="15.75" thickBot="1" x14ac:dyDescent="0.3">
      <c r="A26" t="s">
        <v>27</v>
      </c>
      <c r="B26" s="22">
        <f>O24</f>
        <v>4316.3899999999994</v>
      </c>
      <c r="D26" s="5" t="s">
        <v>30</v>
      </c>
      <c r="E26" s="47">
        <f>B50*1.5</f>
        <v>3942.1643999999997</v>
      </c>
    </row>
    <row r="27" spans="1:22" x14ac:dyDescent="0.25">
      <c r="A27" t="s">
        <v>28</v>
      </c>
      <c r="B27" s="22">
        <f>P24</f>
        <v>3670.8399999999997</v>
      </c>
    </row>
    <row r="28" spans="1:22" x14ac:dyDescent="0.25">
      <c r="A28" s="3" t="s">
        <v>29</v>
      </c>
    </row>
    <row r="30" spans="1:22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22" x14ac:dyDescent="0.25">
      <c r="D31" s="37"/>
      <c r="H31" s="37"/>
      <c r="L31" s="37"/>
    </row>
    <row r="32" spans="1:22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4316.3899999999994</v>
      </c>
      <c r="H32" s="37"/>
      <c r="I32" s="26" t="s">
        <v>50</v>
      </c>
      <c r="J32" s="44">
        <f>'Sem 07'!J32+'Sem 08'!F32</f>
        <v>25986.95</v>
      </c>
      <c r="L32" s="37"/>
      <c r="M32" s="27" t="s">
        <v>50</v>
      </c>
      <c r="N32" s="45">
        <f>'Sem 07'!N32+'Sem 08'!F32</f>
        <v>38843.240000000005</v>
      </c>
    </row>
    <row r="33" spans="1:14" x14ac:dyDescent="0.25">
      <c r="A33" t="s">
        <v>33</v>
      </c>
      <c r="B33" s="28">
        <f>IF(C33="","",(C33*1.16)+3.75+10)</f>
        <v>955.04359999999997</v>
      </c>
      <c r="C33" s="34">
        <v>811.46</v>
      </c>
      <c r="D33" s="37"/>
      <c r="E33" s="25" t="s">
        <v>51</v>
      </c>
      <c r="F33" s="42">
        <f>B50</f>
        <v>2628.1095999999998</v>
      </c>
      <c r="H33" s="37"/>
      <c r="I33" s="26" t="s">
        <v>51</v>
      </c>
      <c r="J33" s="44">
        <f>'Sem 07'!J33+'Sem 08'!F33</f>
        <v>21268.417599999997</v>
      </c>
      <c r="L33" s="37"/>
      <c r="M33" s="27" t="s">
        <v>51</v>
      </c>
      <c r="N33" s="45">
        <f>'Sem 07'!N33+'Sem 08'!F33</f>
        <v>30917.301199999998</v>
      </c>
    </row>
    <row r="34" spans="1:14" x14ac:dyDescent="0.25">
      <c r="A34" t="s">
        <v>34</v>
      </c>
      <c r="B34" s="29">
        <f>IF(C34="","",(C34*1.16)+3.75+10)</f>
        <v>695.36599999999999</v>
      </c>
      <c r="C34" s="35">
        <v>587.6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1688.2803999999996</v>
      </c>
      <c r="H35" s="37"/>
      <c r="I35" s="26" t="s">
        <v>52</v>
      </c>
      <c r="J35" s="44">
        <f>'Sem 07'!J35+'Sem 08'!F35</f>
        <v>4718.5324000000019</v>
      </c>
      <c r="L35" s="37"/>
      <c r="M35" s="27" t="s">
        <v>52</v>
      </c>
      <c r="N35" s="45">
        <f>'Sem 07'!N35+'Sem 08'!F35</f>
        <v>7925.9388000000026</v>
      </c>
    </row>
    <row r="36" spans="1:14" x14ac:dyDescent="0.25">
      <c r="A36" t="s">
        <v>36</v>
      </c>
      <c r="B36" s="31">
        <v>729.1</v>
      </c>
      <c r="D36" s="37"/>
      <c r="E36" s="25" t="s">
        <v>53</v>
      </c>
      <c r="F36" s="43">
        <f>(F32-F33)/F33</f>
        <v>0.64239345269314485</v>
      </c>
      <c r="H36" s="37"/>
      <c r="I36" s="26" t="s">
        <v>53</v>
      </c>
      <c r="J36" s="52">
        <f>(J32-J33)/J33</f>
        <v>0.22185629832658563</v>
      </c>
      <c r="L36" s="37"/>
      <c r="M36" s="27" t="s">
        <v>53</v>
      </c>
      <c r="N36" s="53">
        <f>(N32-N33)/N33</f>
        <v>0.25635933578833869</v>
      </c>
    </row>
    <row r="37" spans="1:14" x14ac:dyDescent="0.25">
      <c r="A37" t="s">
        <v>37</v>
      </c>
      <c r="B37" s="31">
        <v>248.6</v>
      </c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  <c r="M42" t="s">
        <v>208</v>
      </c>
      <c r="N42" s="65">
        <f>N35</f>
        <v>7925.9388000000026</v>
      </c>
    </row>
    <row r="43" spans="1:14" x14ac:dyDescent="0.25">
      <c r="A43" t="s">
        <v>40</v>
      </c>
      <c r="B43" s="21"/>
      <c r="D43" s="37"/>
      <c r="H43" s="37"/>
      <c r="L43" s="37"/>
      <c r="M43" t="s">
        <v>209</v>
      </c>
      <c r="N43" s="65">
        <f>FRAIS!G44*_xlfn.ISOWEEKNUM(L3)</f>
        <v>7487.2938461538452</v>
      </c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  <c r="M45" t="s">
        <v>211</v>
      </c>
      <c r="N45" s="65">
        <f>N42-N43</f>
        <v>438.64495384615748</v>
      </c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>
        <v>1093.25</v>
      </c>
      <c r="H48" s="37"/>
      <c r="I48" s="38" t="s">
        <v>61</v>
      </c>
      <c r="J48" s="38"/>
      <c r="K48" s="39">
        <f>F32</f>
        <v>4316.3899999999994</v>
      </c>
      <c r="L48" s="37"/>
    </row>
    <row r="49" spans="1:12" ht="15.75" thickBot="1" x14ac:dyDescent="0.3">
      <c r="B49" s="21"/>
      <c r="D49" s="37"/>
      <c r="G49" s="40">
        <v>27.52</v>
      </c>
      <c r="H49" s="37"/>
      <c r="L49" s="37"/>
    </row>
    <row r="50" spans="1:12" ht="15.75" thickBot="1" x14ac:dyDescent="0.3">
      <c r="A50" t="s">
        <v>42</v>
      </c>
      <c r="B50" s="33">
        <f>SUM(B33:B48)</f>
        <v>2628.1095999999998</v>
      </c>
      <c r="D50" s="37"/>
      <c r="G50" s="40"/>
      <c r="H50" s="37"/>
      <c r="I50" t="s">
        <v>62</v>
      </c>
      <c r="J50">
        <v>4256.3900000000003</v>
      </c>
      <c r="K50" s="41">
        <f>J50/K48</f>
        <v>0.98609949518000017</v>
      </c>
      <c r="L50" s="37"/>
    </row>
    <row r="51" spans="1:12" ht="15.75" x14ac:dyDescent="0.25">
      <c r="B51" s="21"/>
      <c r="D51" s="37"/>
      <c r="F51" t="s">
        <v>57</v>
      </c>
      <c r="G51" s="39">
        <f>SUM(G48:G50)</f>
        <v>1120.77</v>
      </c>
      <c r="H51" s="37"/>
      <c r="I51" t="s">
        <v>63</v>
      </c>
      <c r="J51" s="22">
        <f>K48-J50</f>
        <v>59.999999999999091</v>
      </c>
      <c r="K51" s="41">
        <f>J51/K48</f>
        <v>1.3900504819999838E-2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x14ac:dyDescent="0.25">
      <c r="A53" s="6" t="s">
        <v>188</v>
      </c>
      <c r="B53" s="21">
        <v>9.35</v>
      </c>
      <c r="D53" s="37"/>
      <c r="E53" t="s">
        <v>58</v>
      </c>
      <c r="G53" s="40">
        <v>1068.99</v>
      </c>
      <c r="H53" s="37"/>
      <c r="L53" s="37"/>
    </row>
    <row r="54" spans="1:12" x14ac:dyDescent="0.25">
      <c r="A54" s="79" t="s">
        <v>189</v>
      </c>
      <c r="B54" s="21">
        <f>(B37*16%)</f>
        <v>39.776000000000003</v>
      </c>
      <c r="D54" s="37"/>
      <c r="E54" t="s">
        <v>59</v>
      </c>
      <c r="G54" s="40"/>
      <c r="H54" s="37"/>
      <c r="L54" s="37"/>
    </row>
    <row r="55" spans="1:12" x14ac:dyDescent="0.25">
      <c r="D55" s="37"/>
      <c r="E55" t="s">
        <v>60</v>
      </c>
      <c r="G55" s="40">
        <v>291.48</v>
      </c>
      <c r="H55" s="37"/>
      <c r="L55" s="37"/>
    </row>
    <row r="56" spans="1:12" ht="15.75" thickBot="1" x14ac:dyDescent="0.3">
      <c r="D56" s="37"/>
      <c r="H56" s="37"/>
      <c r="L56" s="37"/>
    </row>
    <row r="57" spans="1:12" ht="15.75" thickBot="1" x14ac:dyDescent="0.3">
      <c r="A57" t="s">
        <v>44</v>
      </c>
      <c r="B57" s="33">
        <v>11970.63</v>
      </c>
    </row>
    <row r="58" spans="1:12" ht="16.5" thickBot="1" x14ac:dyDescent="0.3">
      <c r="A58" t="s">
        <v>45</v>
      </c>
      <c r="B58" s="21">
        <f>'Sem 07'!B56</f>
        <v>13198.27</v>
      </c>
      <c r="E58" t="s">
        <v>65</v>
      </c>
      <c r="G58" s="48">
        <f>SUM(G48:G50)+SUM(G53:G55)</f>
        <v>2481.2399999999998</v>
      </c>
    </row>
    <row r="59" spans="1:12" x14ac:dyDescent="0.25">
      <c r="B59" s="21"/>
    </row>
    <row r="60" spans="1:12" x14ac:dyDescent="0.25">
      <c r="A60" t="s">
        <v>46</v>
      </c>
      <c r="B60" s="21">
        <f>B57-B58</f>
        <v>-1227.6400000000012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59999389629810485"/>
    <pageSetUpPr fitToPage="1"/>
  </sheetPr>
  <dimension ref="A1:P60"/>
  <sheetViews>
    <sheetView topLeftCell="A31" workbookViewId="0">
      <selection activeCell="A53" sqref="A53:A54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43157</v>
      </c>
      <c r="C3" s="9"/>
      <c r="D3" s="9">
        <v>43158</v>
      </c>
      <c r="E3" s="9"/>
      <c r="F3" s="9">
        <v>43159</v>
      </c>
      <c r="G3" s="9"/>
      <c r="H3" s="9">
        <v>43160</v>
      </c>
      <c r="I3" s="9"/>
      <c r="J3" s="9">
        <v>43161</v>
      </c>
      <c r="K3" s="9"/>
      <c r="L3" s="9">
        <v>43162</v>
      </c>
      <c r="M3" s="9"/>
      <c r="N3" s="9">
        <v>43163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f>228.55+98.05</f>
        <v>326.60000000000002</v>
      </c>
      <c r="E4" s="12"/>
      <c r="F4" s="12"/>
      <c r="G4" s="12"/>
      <c r="H4" s="12">
        <f>518.95-228.55+25.15</f>
        <v>315.55</v>
      </c>
      <c r="I4" s="12">
        <v>699.15</v>
      </c>
      <c r="J4" s="12"/>
      <c r="K4" s="12"/>
      <c r="L4" s="12"/>
      <c r="M4" s="12"/>
      <c r="N4" s="12"/>
      <c r="O4" s="12">
        <f>B4+D4+F4+H4+J4+L4+N4</f>
        <v>642.15000000000009</v>
      </c>
      <c r="P4" s="12">
        <f>C4+E4+G4+I4+K4+M4</f>
        <v>699.15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124.5</v>
      </c>
      <c r="I5" s="14"/>
      <c r="J5" s="14"/>
      <c r="K5" s="14"/>
      <c r="L5" s="14"/>
      <c r="M5" s="14"/>
      <c r="N5" s="14"/>
      <c r="O5" s="12">
        <f t="shared" ref="O5:O23" si="0">B5+D5+F5+H5+J5+L5+N5</f>
        <v>124.5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143.9</v>
      </c>
      <c r="E6" s="14">
        <v>300</v>
      </c>
      <c r="F6" s="14"/>
      <c r="G6" s="14"/>
      <c r="H6" s="14">
        <v>280.2</v>
      </c>
      <c r="I6" s="14">
        <v>650</v>
      </c>
      <c r="J6" s="14"/>
      <c r="K6" s="14"/>
      <c r="L6" s="14"/>
      <c r="M6" s="14"/>
      <c r="N6" s="14"/>
      <c r="O6" s="12">
        <f t="shared" si="0"/>
        <v>424.1</v>
      </c>
      <c r="P6" s="12">
        <f t="shared" si="1"/>
        <v>950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387.7</v>
      </c>
      <c r="K7" s="14">
        <v>410.96</v>
      </c>
      <c r="L7" s="14"/>
      <c r="M7" s="14"/>
      <c r="N7" s="14"/>
      <c r="O7" s="12">
        <f t="shared" si="0"/>
        <v>387.7</v>
      </c>
      <c r="P7" s="12">
        <f t="shared" si="1"/>
        <v>410.96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>
        <f>165.2+117</f>
        <v>282.2</v>
      </c>
      <c r="K8" s="14"/>
      <c r="L8" s="14"/>
      <c r="M8" s="14"/>
      <c r="N8" s="14"/>
      <c r="O8" s="12">
        <f t="shared" si="0"/>
        <v>282.2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281.75</v>
      </c>
      <c r="I9" s="14">
        <v>298.66000000000003</v>
      </c>
      <c r="J9" s="14"/>
      <c r="K9" s="14"/>
      <c r="L9" s="14"/>
      <c r="M9" s="14"/>
      <c r="N9" s="14"/>
      <c r="O9" s="12">
        <f t="shared" si="0"/>
        <v>281.75</v>
      </c>
      <c r="P9" s="12">
        <f t="shared" si="1"/>
        <v>298.66000000000003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>
        <f>439+100.51</f>
        <v>539.51</v>
      </c>
      <c r="K12" s="14"/>
      <c r="L12" s="14"/>
      <c r="M12" s="14"/>
      <c r="N12" s="14"/>
      <c r="O12" s="12">
        <f t="shared" si="0"/>
        <v>539.51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530.75</v>
      </c>
      <c r="K13" s="14"/>
      <c r="L13" s="14"/>
      <c r="M13" s="14"/>
      <c r="N13" s="14"/>
      <c r="O13" s="12">
        <f t="shared" si="0"/>
        <v>530.75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120.7</v>
      </c>
      <c r="K14" s="14">
        <v>127.94</v>
      </c>
      <c r="L14" s="14"/>
      <c r="M14" s="14"/>
      <c r="N14" s="14"/>
      <c r="O14" s="12">
        <f t="shared" si="0"/>
        <v>120.7</v>
      </c>
      <c r="P14" s="12">
        <f t="shared" si="1"/>
        <v>127.94</v>
      </c>
    </row>
    <row r="15" spans="1:16" ht="18.75" x14ac:dyDescent="0.3">
      <c r="A15" s="19" t="s">
        <v>21</v>
      </c>
      <c r="B15" s="13"/>
      <c r="C15" s="14"/>
      <c r="D15" s="14">
        <v>176.25</v>
      </c>
      <c r="E15" s="14">
        <v>236.43</v>
      </c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176.25</v>
      </c>
      <c r="P15" s="12">
        <f t="shared" si="1"/>
        <v>236.43</v>
      </c>
    </row>
    <row r="16" spans="1:16" ht="18.75" x14ac:dyDescent="0.3">
      <c r="A16" s="19" t="s">
        <v>22</v>
      </c>
      <c r="B16" s="13"/>
      <c r="C16" s="14"/>
      <c r="D16" s="14">
        <v>89.6</v>
      </c>
      <c r="E16" s="14">
        <v>280</v>
      </c>
      <c r="F16" s="14"/>
      <c r="G16" s="14"/>
      <c r="H16" s="14">
        <v>161.69999999999999</v>
      </c>
      <c r="I16" s="14"/>
      <c r="J16" s="14">
        <v>196.65</v>
      </c>
      <c r="K16" s="14"/>
      <c r="L16" s="14"/>
      <c r="M16" s="14"/>
      <c r="N16" s="14"/>
      <c r="O16" s="12">
        <f t="shared" si="0"/>
        <v>447.95</v>
      </c>
      <c r="P16" s="12">
        <f t="shared" si="1"/>
        <v>280</v>
      </c>
    </row>
    <row r="17" spans="1:16" ht="18.75" x14ac:dyDescent="0.3">
      <c r="A17" s="18" t="s">
        <v>23</v>
      </c>
      <c r="B17" s="13"/>
      <c r="C17" s="14"/>
      <c r="D17" s="14">
        <v>83.6</v>
      </c>
      <c r="E17" s="14"/>
      <c r="F17" s="14"/>
      <c r="G17" s="14"/>
      <c r="H17" s="14">
        <v>173.9</v>
      </c>
      <c r="I17" s="14"/>
      <c r="J17" s="14"/>
      <c r="K17" s="14"/>
      <c r="L17" s="14"/>
      <c r="M17" s="14"/>
      <c r="N17" s="14"/>
      <c r="O17" s="12">
        <f t="shared" si="0"/>
        <v>257.5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>
        <v>0</v>
      </c>
      <c r="C23" s="17"/>
      <c r="D23" s="17"/>
      <c r="E23" s="17"/>
      <c r="F23" s="17"/>
      <c r="G23" s="17"/>
      <c r="H23" s="17">
        <v>76.5</v>
      </c>
      <c r="I23" s="17">
        <v>76.5</v>
      </c>
      <c r="J23" s="17"/>
      <c r="K23" s="17"/>
      <c r="L23" s="17"/>
      <c r="M23" s="17"/>
      <c r="N23" s="17"/>
      <c r="O23" s="49">
        <f t="shared" si="0"/>
        <v>76.5</v>
      </c>
      <c r="P23" s="49">
        <f t="shared" si="1"/>
        <v>76.5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819.95</v>
      </c>
      <c r="E24" s="21">
        <f t="shared" si="2"/>
        <v>816.43000000000006</v>
      </c>
      <c r="F24" s="21">
        <f t="shared" si="2"/>
        <v>0</v>
      </c>
      <c r="G24" s="21">
        <f t="shared" si="2"/>
        <v>0</v>
      </c>
      <c r="H24" s="21">
        <f t="shared" si="2"/>
        <v>1414.1000000000001</v>
      </c>
      <c r="I24" s="21">
        <f t="shared" si="2"/>
        <v>1724.3100000000002</v>
      </c>
      <c r="J24" s="21">
        <f t="shared" si="2"/>
        <v>2057.5099999999998</v>
      </c>
      <c r="K24" s="21">
        <f t="shared" si="2"/>
        <v>538.9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4291.5599999999995</v>
      </c>
      <c r="P24" s="50">
        <f t="shared" si="2"/>
        <v>3079.64</v>
      </c>
    </row>
    <row r="25" spans="1:16" ht="15.75" thickBot="1" x14ac:dyDescent="0.3">
      <c r="N25" t="s">
        <v>55</v>
      </c>
      <c r="O25" s="50">
        <f>SUM(B24+D24+F24+H24+J24+L24+N24)</f>
        <v>4291.5599999999995</v>
      </c>
      <c r="P25" s="50">
        <f>SUM(C24+E24+G24+I24+K24+M24)</f>
        <v>3079.6400000000003</v>
      </c>
    </row>
    <row r="26" spans="1:16" ht="15.75" thickBot="1" x14ac:dyDescent="0.3">
      <c r="A26" t="s">
        <v>27</v>
      </c>
      <c r="B26" s="22">
        <f>O24</f>
        <v>4291.5599999999995</v>
      </c>
      <c r="D26" s="5" t="s">
        <v>30</v>
      </c>
      <c r="E26" s="47">
        <f>B50*1.5</f>
        <v>4312.9313999999995</v>
      </c>
    </row>
    <row r="27" spans="1:16" x14ac:dyDescent="0.25">
      <c r="A27" t="s">
        <v>28</v>
      </c>
      <c r="B27" s="22">
        <f>P24</f>
        <v>3079.64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4291.5599999999995</v>
      </c>
      <c r="H32" s="37"/>
      <c r="I32" s="26" t="s">
        <v>50</v>
      </c>
      <c r="J32" s="44">
        <f>F32</f>
        <v>4291.5599999999995</v>
      </c>
      <c r="L32" s="37"/>
      <c r="M32" s="27" t="s">
        <v>50</v>
      </c>
      <c r="N32" s="45">
        <f>'Sem 08'!N32+'Sem 09'!F32</f>
        <v>43134.8</v>
      </c>
    </row>
    <row r="33" spans="1:14" x14ac:dyDescent="0.25">
      <c r="A33" t="s">
        <v>33</v>
      </c>
      <c r="B33" s="28">
        <f>IF(C33="","",(C33*1.16)+3.75+10)</f>
        <v>1530.2875999999999</v>
      </c>
      <c r="C33" s="34">
        <v>1307.3599999999999</v>
      </c>
      <c r="D33" s="37"/>
      <c r="E33" s="25" t="s">
        <v>51</v>
      </c>
      <c r="F33" s="42">
        <f>B50</f>
        <v>2875.2875999999997</v>
      </c>
      <c r="H33" s="37"/>
      <c r="I33" s="26" t="s">
        <v>51</v>
      </c>
      <c r="J33" s="44">
        <f>F33</f>
        <v>2875.2875999999997</v>
      </c>
      <c r="L33" s="37"/>
      <c r="M33" s="27" t="s">
        <v>51</v>
      </c>
      <c r="N33" s="45">
        <f>'Sem 08'!N33+'Sem 09'!F33</f>
        <v>33792.588799999998</v>
      </c>
    </row>
    <row r="34" spans="1:14" x14ac:dyDescent="0.25">
      <c r="A34" t="s">
        <v>34</v>
      </c>
      <c r="B34" s="29">
        <f>IF(C34="","",(C34*1.16)+3.75+10)</f>
        <v>589.4</v>
      </c>
      <c r="C34" s="35">
        <v>496.25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1416.2723999999998</v>
      </c>
      <c r="H35" s="37"/>
      <c r="I35" s="26" t="s">
        <v>52</v>
      </c>
      <c r="J35" s="44">
        <f>F35</f>
        <v>1416.2723999999998</v>
      </c>
      <c r="L35" s="37"/>
      <c r="M35" s="27" t="s">
        <v>52</v>
      </c>
      <c r="N35" s="45">
        <f>'Sem 08'!N35+'Sem 09'!F35</f>
        <v>9342.2112000000016</v>
      </c>
    </row>
    <row r="36" spans="1:14" x14ac:dyDescent="0.25">
      <c r="A36" t="s">
        <v>36</v>
      </c>
      <c r="B36" s="31">
        <v>755.6</v>
      </c>
      <c r="D36" s="37"/>
      <c r="E36" s="25" t="s">
        <v>53</v>
      </c>
      <c r="F36" s="43">
        <f>(F32-F33)/F33</f>
        <v>0.49256721310243889</v>
      </c>
      <c r="H36" s="37"/>
      <c r="I36" s="26" t="s">
        <v>53</v>
      </c>
      <c r="J36" s="52">
        <f>(J32-J33)/J33</f>
        <v>0.49256721310243889</v>
      </c>
      <c r="L36" s="37"/>
      <c r="M36" s="27" t="s">
        <v>53</v>
      </c>
      <c r="N36" s="53">
        <f>(N32-N33)/N33</f>
        <v>0.27645739884835357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  <c r="M42" t="s">
        <v>208</v>
      </c>
      <c r="N42" s="65">
        <f>N35</f>
        <v>9342.2112000000016</v>
      </c>
    </row>
    <row r="43" spans="1:14" x14ac:dyDescent="0.25">
      <c r="A43" t="s">
        <v>40</v>
      </c>
      <c r="B43" s="21"/>
      <c r="D43" s="37"/>
      <c r="H43" s="37"/>
      <c r="L43" s="37"/>
      <c r="M43" t="s">
        <v>209</v>
      </c>
      <c r="N43" s="65">
        <f>FRAIS!G44*_xlfn.ISOWEEKNUM(L3)</f>
        <v>8423.2055769230756</v>
      </c>
    </row>
    <row r="44" spans="1:14" x14ac:dyDescent="0.25">
      <c r="A44" s="6"/>
      <c r="B44" s="21"/>
      <c r="D44" s="37"/>
      <c r="H44" s="37"/>
      <c r="L44" s="37"/>
      <c r="N44" t="s">
        <v>195</v>
      </c>
    </row>
    <row r="45" spans="1:14" x14ac:dyDescent="0.25">
      <c r="A45" s="6"/>
      <c r="B45" s="21"/>
      <c r="D45" s="37"/>
      <c r="H45" s="37"/>
      <c r="L45" s="37"/>
      <c r="M45" t="s">
        <v>210</v>
      </c>
      <c r="N45" s="65">
        <f>N42-N43</f>
        <v>919.00562307692599</v>
      </c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>
        <v>1685.01</v>
      </c>
      <c r="H48" s="37"/>
      <c r="I48" s="38" t="s">
        <v>61</v>
      </c>
      <c r="J48" s="38"/>
      <c r="K48" s="39">
        <f>F32</f>
        <v>4291.5599999999995</v>
      </c>
      <c r="L48" s="37"/>
      <c r="N48" t="s">
        <v>134</v>
      </c>
    </row>
    <row r="49" spans="1:12" ht="15.75" thickBot="1" x14ac:dyDescent="0.3">
      <c r="B49" s="21"/>
      <c r="D49" s="37"/>
      <c r="G49" s="40">
        <v>296.58</v>
      </c>
      <c r="H49" s="37"/>
      <c r="L49" s="37"/>
    </row>
    <row r="50" spans="1:12" ht="15.75" thickBot="1" x14ac:dyDescent="0.3">
      <c r="A50" t="s">
        <v>42</v>
      </c>
      <c r="B50" s="33">
        <f>SUM(B33:B48)</f>
        <v>2875.2875999999997</v>
      </c>
      <c r="D50" s="37"/>
      <c r="G50" s="40"/>
      <c r="H50" s="37"/>
      <c r="I50" t="s">
        <v>62</v>
      </c>
      <c r="J50">
        <v>4214.46</v>
      </c>
      <c r="K50" s="41">
        <f>J50/K48</f>
        <v>0.98203450493526845</v>
      </c>
      <c r="L50" s="37"/>
    </row>
    <row r="51" spans="1:12" ht="15.75" x14ac:dyDescent="0.25">
      <c r="B51" s="21"/>
      <c r="D51" s="37"/>
      <c r="F51" t="s">
        <v>57</v>
      </c>
      <c r="G51" s="39">
        <f>SUM(G48:G50)</f>
        <v>1981.59</v>
      </c>
      <c r="H51" s="37"/>
      <c r="I51" t="s">
        <v>63</v>
      </c>
      <c r="J51" s="22">
        <f>K48-J50</f>
        <v>77.099999999999454</v>
      </c>
      <c r="K51" s="41">
        <f>J51/K48</f>
        <v>1.7965495064731579E-2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x14ac:dyDescent="0.25">
      <c r="A53" s="6" t="s">
        <v>188</v>
      </c>
      <c r="B53" s="21">
        <v>9.35</v>
      </c>
      <c r="D53" s="37"/>
      <c r="E53" t="s">
        <v>58</v>
      </c>
      <c r="G53" s="40">
        <v>1082.05</v>
      </c>
      <c r="H53" s="37"/>
      <c r="L53" s="37"/>
    </row>
    <row r="54" spans="1:12" x14ac:dyDescent="0.25">
      <c r="A54" s="79" t="s">
        <v>189</v>
      </c>
      <c r="B54" s="21">
        <f>B37*16%</f>
        <v>0</v>
      </c>
      <c r="D54" s="37"/>
      <c r="G54" s="40"/>
      <c r="H54" s="37"/>
      <c r="L54" s="37"/>
    </row>
    <row r="55" spans="1:12" x14ac:dyDescent="0.25">
      <c r="D55" s="37"/>
      <c r="E55" t="s">
        <v>59</v>
      </c>
      <c r="G55" s="40"/>
      <c r="H55" s="37"/>
      <c r="L55" s="37"/>
    </row>
    <row r="56" spans="1:12" ht="15.75" thickBot="1" x14ac:dyDescent="0.3">
      <c r="D56" s="37"/>
      <c r="E56" t="s">
        <v>60</v>
      </c>
      <c r="G56" s="40"/>
      <c r="H56" s="37"/>
      <c r="L56" s="37"/>
    </row>
    <row r="57" spans="1:12" ht="15.75" thickBot="1" x14ac:dyDescent="0.3">
      <c r="A57" t="s">
        <v>44</v>
      </c>
      <c r="B57" s="33">
        <v>7834.65</v>
      </c>
      <c r="D57" s="37"/>
      <c r="H57" s="37"/>
      <c r="L57" s="37"/>
    </row>
    <row r="58" spans="1:12" ht="15.75" thickBot="1" x14ac:dyDescent="0.3">
      <c r="A58" t="s">
        <v>45</v>
      </c>
      <c r="B58" s="21">
        <v>11970.63</v>
      </c>
    </row>
    <row r="59" spans="1:12" ht="16.5" thickBot="1" x14ac:dyDescent="0.3">
      <c r="B59" s="21"/>
      <c r="E59" t="s">
        <v>65</v>
      </c>
      <c r="G59" s="48">
        <f>SUM(G48:G50)+SUM(G53:G56)</f>
        <v>3063.64</v>
      </c>
    </row>
    <row r="60" spans="1:12" x14ac:dyDescent="0.25">
      <c r="A60" t="s">
        <v>46</v>
      </c>
      <c r="B60" s="21">
        <f>B57-B58</f>
        <v>-4135.9799999999996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1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0.59999389629810485"/>
    <pageSetUpPr fitToPage="1"/>
  </sheetPr>
  <dimension ref="A1:P61"/>
  <sheetViews>
    <sheetView topLeftCell="A28" workbookViewId="0">
      <selection activeCell="J32" sqref="J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43164</v>
      </c>
      <c r="C3" s="10"/>
      <c r="D3" s="9">
        <v>43165</v>
      </c>
      <c r="E3" s="10"/>
      <c r="F3" s="9">
        <v>43166</v>
      </c>
      <c r="G3" s="10"/>
      <c r="H3" s="9">
        <v>43167</v>
      </c>
      <c r="I3" s="10"/>
      <c r="J3" s="9">
        <v>43168</v>
      </c>
      <c r="K3" s="10"/>
      <c r="L3" s="9">
        <v>43169</v>
      </c>
      <c r="M3" s="10"/>
      <c r="N3" s="9">
        <v>43170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601</v>
      </c>
      <c r="E4" s="12"/>
      <c r="F4" s="12"/>
      <c r="G4" s="12"/>
      <c r="H4" s="12">
        <f>886.45-601</f>
        <v>285.45000000000005</v>
      </c>
      <c r="I4" s="12">
        <v>939.64</v>
      </c>
      <c r="J4" s="12"/>
      <c r="K4" s="12"/>
      <c r="L4" s="12"/>
      <c r="M4" s="12"/>
      <c r="N4" s="12"/>
      <c r="O4" s="12">
        <f>B4+D4+F4+H4+J4+L4+N4</f>
        <v>886.45</v>
      </c>
      <c r="P4" s="12">
        <f>C4+E4+G4+I4+K4+M4</f>
        <v>939.64</v>
      </c>
    </row>
    <row r="5" spans="1:16" ht="18.75" x14ac:dyDescent="0.3">
      <c r="A5" s="18" t="s">
        <v>11</v>
      </c>
      <c r="B5" s="13"/>
      <c r="C5" s="14"/>
      <c r="D5" s="14">
        <v>123</v>
      </c>
      <c r="E5" s="14"/>
      <c r="F5" s="14"/>
      <c r="G5" s="14"/>
      <c r="H5" s="14">
        <v>104.2</v>
      </c>
      <c r="I5" s="14"/>
      <c r="J5" s="14"/>
      <c r="K5" s="14"/>
      <c r="L5" s="14"/>
      <c r="M5" s="14"/>
      <c r="N5" s="14"/>
      <c r="O5" s="12">
        <f t="shared" ref="O5:O23" si="0">B5+D5+F5+H5+J5+L5+N5</f>
        <v>227.2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263.89999999999998</v>
      </c>
      <c r="E6" s="14">
        <v>150</v>
      </c>
      <c r="F6" s="14"/>
      <c r="G6" s="14"/>
      <c r="H6" s="14">
        <v>210</v>
      </c>
      <c r="I6" s="14">
        <v>250</v>
      </c>
      <c r="J6" s="14"/>
      <c r="K6" s="14"/>
      <c r="L6" s="14"/>
      <c r="M6" s="14"/>
      <c r="N6" s="14"/>
      <c r="O6" s="12">
        <f t="shared" si="0"/>
        <v>473.9</v>
      </c>
      <c r="P6" s="12">
        <f t="shared" si="1"/>
        <v>400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313</v>
      </c>
      <c r="G7" s="14"/>
      <c r="H7" s="14"/>
      <c r="I7" s="14"/>
      <c r="J7" s="14">
        <f>396.5-313</f>
        <v>83.5</v>
      </c>
      <c r="K7" s="14">
        <v>420.29</v>
      </c>
      <c r="L7" s="14"/>
      <c r="M7" s="14"/>
      <c r="N7" s="14"/>
      <c r="O7" s="12">
        <f t="shared" si="0"/>
        <v>396.5</v>
      </c>
      <c r="P7" s="12">
        <f t="shared" si="1"/>
        <v>420.29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402.36</v>
      </c>
      <c r="I9" s="14">
        <v>426.5</v>
      </c>
      <c r="J9" s="14"/>
      <c r="K9" s="14"/>
      <c r="L9" s="14"/>
      <c r="M9" s="14"/>
      <c r="N9" s="14"/>
      <c r="O9" s="12">
        <f t="shared" si="0"/>
        <v>402.36</v>
      </c>
      <c r="P9" s="12">
        <f t="shared" si="1"/>
        <v>426.5</v>
      </c>
    </row>
    <row r="10" spans="1:16" ht="18.75" x14ac:dyDescent="0.3">
      <c r="A10" s="116" t="s">
        <v>16</v>
      </c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9">
        <f t="shared" si="0"/>
        <v>0</v>
      </c>
      <c r="P10" s="119">
        <f t="shared" si="1"/>
        <v>0</v>
      </c>
    </row>
    <row r="11" spans="1:16" ht="18.75" x14ac:dyDescent="0.3">
      <c r="A11" s="116" t="s">
        <v>17</v>
      </c>
      <c r="B11" s="117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9">
        <f t="shared" si="0"/>
        <v>0</v>
      </c>
      <c r="P11" s="119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f>340.43+797.5</f>
        <v>1137.93</v>
      </c>
      <c r="K13" s="14"/>
      <c r="L13" s="14"/>
      <c r="M13" s="14"/>
      <c r="N13" s="14"/>
      <c r="O13" s="12">
        <f t="shared" si="0"/>
        <v>1137.93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52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52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240</v>
      </c>
      <c r="E15" s="14">
        <v>120</v>
      </c>
      <c r="F15" s="14"/>
      <c r="G15" s="14"/>
      <c r="H15" s="14">
        <v>308</v>
      </c>
      <c r="I15" s="14">
        <v>66.819999999999993</v>
      </c>
      <c r="J15" s="14"/>
      <c r="K15" s="14"/>
      <c r="L15" s="14"/>
      <c r="M15" s="14"/>
      <c r="N15" s="14"/>
      <c r="O15" s="12">
        <f t="shared" si="0"/>
        <v>548</v>
      </c>
      <c r="P15" s="12">
        <f t="shared" si="1"/>
        <v>186.82</v>
      </c>
    </row>
    <row r="16" spans="1:16" ht="18.75" x14ac:dyDescent="0.3">
      <c r="A16" s="19" t="s">
        <v>22</v>
      </c>
      <c r="B16" s="13"/>
      <c r="C16" s="14"/>
      <c r="D16" s="14">
        <v>84.75</v>
      </c>
      <c r="E16" s="14">
        <f>54+400</f>
        <v>454</v>
      </c>
      <c r="F16" s="14"/>
      <c r="G16" s="14"/>
      <c r="H16" s="14">
        <f>113.45+23.09</f>
        <v>136.54</v>
      </c>
      <c r="I16" s="14"/>
      <c r="J16" s="14"/>
      <c r="K16" s="14"/>
      <c r="L16" s="14"/>
      <c r="M16" s="14"/>
      <c r="N16" s="14"/>
      <c r="O16" s="12">
        <f t="shared" si="0"/>
        <v>221.29</v>
      </c>
      <c r="P16" s="12">
        <f t="shared" si="1"/>
        <v>454</v>
      </c>
    </row>
    <row r="17" spans="1:16" ht="18.75" x14ac:dyDescent="0.3">
      <c r="A17" s="18" t="s">
        <v>23</v>
      </c>
      <c r="B17" s="13"/>
      <c r="C17" s="14"/>
      <c r="D17" s="14">
        <v>150.80000000000001</v>
      </c>
      <c r="E17" s="14"/>
      <c r="F17" s="14">
        <v>152.69999999999999</v>
      </c>
      <c r="G17" s="14"/>
      <c r="H17" s="14">
        <v>178.7</v>
      </c>
      <c r="I17" s="14"/>
      <c r="J17" s="14"/>
      <c r="K17" s="14"/>
      <c r="L17" s="14"/>
      <c r="M17" s="14"/>
      <c r="N17" s="14"/>
      <c r="O17" s="12">
        <f t="shared" si="0"/>
        <v>482.2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f>292.55+50.3</f>
        <v>342.85</v>
      </c>
      <c r="G18" s="14"/>
      <c r="H18" s="14"/>
      <c r="I18" s="14"/>
      <c r="J18" s="14">
        <f>580.9-292.55</f>
        <v>288.34999999999997</v>
      </c>
      <c r="K18" s="14"/>
      <c r="L18" s="14"/>
      <c r="M18" s="14"/>
      <c r="N18" s="14"/>
      <c r="O18" s="12">
        <f t="shared" si="0"/>
        <v>631.20000000000005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>
        <v>103</v>
      </c>
      <c r="C23" s="17">
        <v>103</v>
      </c>
      <c r="D23" s="17">
        <v>209.45</v>
      </c>
      <c r="E23" s="17">
        <v>209.45</v>
      </c>
      <c r="F23" s="17">
        <v>164.55</v>
      </c>
      <c r="G23" s="17">
        <v>164.55</v>
      </c>
      <c r="H23" s="17">
        <v>138.25</v>
      </c>
      <c r="I23" s="17">
        <v>138.25</v>
      </c>
      <c r="J23" s="17">
        <v>285.39999999999998</v>
      </c>
      <c r="K23" s="17">
        <v>285.39999999999998</v>
      </c>
      <c r="L23" s="17"/>
      <c r="M23" s="17"/>
      <c r="N23" s="17"/>
      <c r="O23" s="49">
        <f t="shared" si="0"/>
        <v>900.65</v>
      </c>
      <c r="P23" s="49">
        <f t="shared" si="1"/>
        <v>900.65</v>
      </c>
    </row>
    <row r="24" spans="1:16" x14ac:dyDescent="0.25">
      <c r="A24" t="s">
        <v>54</v>
      </c>
      <c r="B24" s="21">
        <f>SUM(B4:B23)</f>
        <v>103</v>
      </c>
      <c r="C24" s="21">
        <f t="shared" ref="C24:P24" si="2">SUM(C4:C23)</f>
        <v>103</v>
      </c>
      <c r="D24" s="21">
        <f t="shared" si="2"/>
        <v>1672.9</v>
      </c>
      <c r="E24" s="21">
        <f t="shared" si="2"/>
        <v>933.45</v>
      </c>
      <c r="F24" s="21">
        <f t="shared" si="2"/>
        <v>1025.1000000000001</v>
      </c>
      <c r="G24" s="21">
        <f t="shared" si="2"/>
        <v>164.55</v>
      </c>
      <c r="H24" s="21">
        <f t="shared" si="2"/>
        <v>1763.5000000000002</v>
      </c>
      <c r="I24" s="21">
        <f t="shared" si="2"/>
        <v>1821.2099999999998</v>
      </c>
      <c r="J24" s="21">
        <f t="shared" si="2"/>
        <v>1795.1799999999998</v>
      </c>
      <c r="K24" s="21">
        <f t="shared" si="2"/>
        <v>705.69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6359.6799999999994</v>
      </c>
      <c r="P24" s="50">
        <f t="shared" si="2"/>
        <v>3727.9</v>
      </c>
    </row>
    <row r="25" spans="1:16" ht="15.75" thickBot="1" x14ac:dyDescent="0.3">
      <c r="N25" t="s">
        <v>55</v>
      </c>
      <c r="O25" s="50">
        <f>SUM(B24+D24+F24+H24+J24+L24+N24)</f>
        <v>6359.68</v>
      </c>
      <c r="P25" s="50">
        <f>SUM(C24+E24+G24+I24+K24+M24)</f>
        <v>3727.9</v>
      </c>
    </row>
    <row r="26" spans="1:16" ht="15.75" thickBot="1" x14ac:dyDescent="0.3">
      <c r="A26" t="s">
        <v>27</v>
      </c>
      <c r="B26" s="22">
        <f>O24</f>
        <v>6359.6799999999994</v>
      </c>
      <c r="D26" s="5" t="s">
        <v>30</v>
      </c>
      <c r="E26" s="47">
        <f>B50*1.5</f>
        <v>6747.7613999999994</v>
      </c>
    </row>
    <row r="27" spans="1:16" x14ac:dyDescent="0.25">
      <c r="A27" t="s">
        <v>28</v>
      </c>
      <c r="B27" s="22">
        <f>P24</f>
        <v>3727.9</v>
      </c>
      <c r="D27" t="s">
        <v>212</v>
      </c>
      <c r="E27" s="65">
        <f>((B50-B43)*1.5)+(B43*1.2)</f>
        <v>6648.4463999999998</v>
      </c>
    </row>
    <row r="28" spans="1:16" x14ac:dyDescent="0.25">
      <c r="A28" s="3" t="s">
        <v>29</v>
      </c>
      <c r="B28">
        <v>2874.39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6359.6799999999994</v>
      </c>
      <c r="H32" s="37"/>
      <c r="I32" s="26" t="s">
        <v>50</v>
      </c>
      <c r="J32" s="44">
        <f>'Sem 09'!J32+'Sem 10'!F32</f>
        <v>10651.239999999998</v>
      </c>
      <c r="L32" s="37"/>
      <c r="M32" s="27" t="s">
        <v>50</v>
      </c>
      <c r="N32" s="45">
        <f>'Sem 09'!N32+'Sem 10'!F32</f>
        <v>49494.48</v>
      </c>
    </row>
    <row r="33" spans="1:16" x14ac:dyDescent="0.25">
      <c r="A33" t="s">
        <v>33</v>
      </c>
      <c r="B33" s="28">
        <f>IF(C33="","",(C33*1.16)+3.75+10)</f>
        <v>1688.2447999999999</v>
      </c>
      <c r="C33" s="34">
        <v>1443.53</v>
      </c>
      <c r="D33" s="37"/>
      <c r="E33" s="25" t="s">
        <v>51</v>
      </c>
      <c r="F33" s="42">
        <f>B50</f>
        <v>4498.5075999999999</v>
      </c>
      <c r="H33" s="37"/>
      <c r="I33" s="26" t="s">
        <v>51</v>
      </c>
      <c r="J33" s="44">
        <f>'Sem 09'!J33+'Sem 10'!F33</f>
        <v>7373.7951999999996</v>
      </c>
      <c r="L33" s="37"/>
      <c r="M33" s="27" t="s">
        <v>51</v>
      </c>
      <c r="N33" s="45">
        <f>'Sem 09'!N33+'Sem 10'!F33</f>
        <v>38291.096399999995</v>
      </c>
    </row>
    <row r="34" spans="1:16" x14ac:dyDescent="0.25">
      <c r="A34" t="s">
        <v>34</v>
      </c>
      <c r="B34" s="29">
        <f>IF(C34="","",(C34*1.16)+3.75+10)</f>
        <v>1193.5627999999999</v>
      </c>
      <c r="C34" s="35">
        <v>1017.08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6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1861.1723999999995</v>
      </c>
      <c r="H35" s="37"/>
      <c r="I35" s="26" t="s">
        <v>52</v>
      </c>
      <c r="J35" s="44">
        <f>'Sem 09'!J35+'Sem 10'!F35</f>
        <v>3277.4447999999993</v>
      </c>
      <c r="L35" s="37"/>
      <c r="M35" s="27" t="s">
        <v>52</v>
      </c>
      <c r="N35" s="45">
        <f>'Sem 09'!N35+'Sem 10'!F35</f>
        <v>11203.383600000001</v>
      </c>
    </row>
    <row r="36" spans="1:16" x14ac:dyDescent="0.25">
      <c r="A36" t="s">
        <v>36</v>
      </c>
      <c r="B36" s="31">
        <v>919.1</v>
      </c>
      <c r="D36" s="37"/>
      <c r="E36" s="25" t="s">
        <v>53</v>
      </c>
      <c r="F36" s="43">
        <f>(F32-F33)/F33</f>
        <v>0.41373107828027222</v>
      </c>
      <c r="H36" s="37"/>
      <c r="I36" s="26" t="s">
        <v>53</v>
      </c>
      <c r="J36" s="52">
        <f>'Sem 09'!J36+'Sem 10'!F36</f>
        <v>0.90629829138271112</v>
      </c>
      <c r="L36" s="37"/>
      <c r="M36" s="27" t="s">
        <v>53</v>
      </c>
      <c r="N36" s="53">
        <f>(N32-N33)/N33</f>
        <v>0.29258456020601203</v>
      </c>
    </row>
    <row r="37" spans="1:16" x14ac:dyDescent="0.25">
      <c r="A37" t="s">
        <v>37</v>
      </c>
      <c r="B37" s="31">
        <v>366.55</v>
      </c>
      <c r="D37" s="37"/>
      <c r="H37" s="37"/>
      <c r="L37" s="37"/>
    </row>
    <row r="38" spans="1:16" ht="15.75" thickBot="1" x14ac:dyDescent="0.3">
      <c r="A38" t="s">
        <v>38</v>
      </c>
      <c r="B38" s="32"/>
      <c r="D38" s="37"/>
      <c r="E38" s="120" t="s">
        <v>213</v>
      </c>
      <c r="F38" s="65">
        <f>F32-P44</f>
        <v>5962.4199999999992</v>
      </c>
      <c r="H38" s="37"/>
      <c r="L38" s="37"/>
    </row>
    <row r="39" spans="1:16" x14ac:dyDescent="0.25">
      <c r="B39" s="21"/>
      <c r="D39" s="37"/>
      <c r="E39" s="120" t="s">
        <v>214</v>
      </c>
      <c r="F39">
        <v>397.26</v>
      </c>
      <c r="H39" s="37"/>
      <c r="L39" s="37"/>
      <c r="M39" t="s">
        <v>208</v>
      </c>
      <c r="N39" s="65">
        <f>N35</f>
        <v>11203.383600000001</v>
      </c>
    </row>
    <row r="40" spans="1:16" x14ac:dyDescent="0.25">
      <c r="B40" s="21"/>
      <c r="D40" s="37"/>
      <c r="E40" s="120" t="s">
        <v>215</v>
      </c>
      <c r="F40">
        <v>4167.46</v>
      </c>
      <c r="H40" s="37"/>
      <c r="L40" s="37"/>
      <c r="M40" t="s">
        <v>209</v>
      </c>
      <c r="N40" s="65">
        <f>FRAIS!G44*_xlfn.ISOWEEKNUM(L3)</f>
        <v>9359.117307692306</v>
      </c>
    </row>
    <row r="41" spans="1:16" x14ac:dyDescent="0.25">
      <c r="B41" s="21"/>
      <c r="D41" s="37"/>
      <c r="E41" s="120" t="s">
        <v>216</v>
      </c>
      <c r="F41" s="66">
        <f>(F38-F40)/F40</f>
        <v>0.43070839312194936</v>
      </c>
      <c r="H41" s="37"/>
      <c r="L41" s="37"/>
    </row>
    <row r="42" spans="1:16" x14ac:dyDescent="0.25">
      <c r="A42" s="2" t="s">
        <v>39</v>
      </c>
      <c r="B42" s="21"/>
      <c r="D42" s="37"/>
      <c r="H42" s="37"/>
      <c r="L42" s="37"/>
      <c r="M42" t="s">
        <v>210</v>
      </c>
      <c r="N42" s="65">
        <f>N39-N40</f>
        <v>1844.266292307695</v>
      </c>
    </row>
    <row r="43" spans="1:16" x14ac:dyDescent="0.25">
      <c r="A43" t="s">
        <v>40</v>
      </c>
      <c r="B43" s="21">
        <v>331.05</v>
      </c>
      <c r="D43" s="37"/>
      <c r="H43" s="37"/>
      <c r="L43" s="37"/>
    </row>
    <row r="44" spans="1:16" x14ac:dyDescent="0.25">
      <c r="A44" s="6"/>
      <c r="B44" s="21"/>
      <c r="D44" s="37"/>
      <c r="H44" s="37"/>
      <c r="L44" s="37"/>
      <c r="P44">
        <f>331.05*1.2</f>
        <v>397.26</v>
      </c>
    </row>
    <row r="45" spans="1:16" x14ac:dyDescent="0.25">
      <c r="A45" s="6"/>
      <c r="B45" s="21"/>
      <c r="D45" s="37"/>
      <c r="H45" s="37"/>
      <c r="L45" s="37"/>
    </row>
    <row r="46" spans="1:16" x14ac:dyDescent="0.25">
      <c r="A46" s="6"/>
      <c r="B46" s="21"/>
      <c r="D46" s="37"/>
      <c r="H46" s="37"/>
      <c r="L46" s="37"/>
    </row>
    <row r="47" spans="1:16" x14ac:dyDescent="0.25">
      <c r="A47" s="6"/>
      <c r="B47" s="21"/>
      <c r="D47" s="37"/>
      <c r="H47" s="37"/>
      <c r="L47" s="37"/>
    </row>
    <row r="48" spans="1:16" ht="15.75" x14ac:dyDescent="0.25">
      <c r="B48" s="21"/>
      <c r="D48" s="37"/>
      <c r="E48" t="s">
        <v>56</v>
      </c>
      <c r="G48" s="40">
        <v>1818.25</v>
      </c>
      <c r="H48" s="37"/>
      <c r="I48" s="38" t="s">
        <v>61</v>
      </c>
      <c r="J48" s="38"/>
      <c r="K48" s="39">
        <f>F32</f>
        <v>6359.6799999999994</v>
      </c>
      <c r="L48" s="37"/>
    </row>
    <row r="49" spans="1:12" ht="15.75" thickBot="1" x14ac:dyDescent="0.3">
      <c r="B49" s="21"/>
      <c r="D49" s="37"/>
      <c r="G49" s="40">
        <v>1131.3599999999999</v>
      </c>
      <c r="H49" s="37"/>
      <c r="L49" s="37"/>
    </row>
    <row r="50" spans="1:12" ht="15.75" thickBot="1" x14ac:dyDescent="0.3">
      <c r="A50" t="s">
        <v>42</v>
      </c>
      <c r="B50" s="33">
        <f>SUM(B33:B48)</f>
        <v>4498.5075999999999</v>
      </c>
      <c r="D50" s="37"/>
      <c r="G50" s="40"/>
      <c r="H50" s="37"/>
      <c r="I50" t="s">
        <v>62</v>
      </c>
      <c r="J50">
        <v>5407.03</v>
      </c>
      <c r="K50" s="41">
        <f>J50/K48</f>
        <v>0.8502047272818759</v>
      </c>
      <c r="L50" s="37"/>
    </row>
    <row r="51" spans="1:12" ht="15.75" x14ac:dyDescent="0.25">
      <c r="B51" s="21"/>
      <c r="D51" s="37"/>
      <c r="F51" t="s">
        <v>57</v>
      </c>
      <c r="G51" s="39">
        <f>SUM(G48:G50)</f>
        <v>2949.6099999999997</v>
      </c>
      <c r="H51" s="37"/>
      <c r="I51" t="s">
        <v>63</v>
      </c>
      <c r="J51" s="22">
        <f>K48-J50</f>
        <v>952.64999999999964</v>
      </c>
      <c r="K51" s="41">
        <f>J51/K48</f>
        <v>0.14979527271812415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x14ac:dyDescent="0.25">
      <c r="A53" s="6" t="s">
        <v>188</v>
      </c>
      <c r="B53" s="21">
        <v>9.35</v>
      </c>
      <c r="D53" s="37"/>
      <c r="H53" s="37"/>
      <c r="L53" s="37"/>
    </row>
    <row r="54" spans="1:12" x14ac:dyDescent="0.25">
      <c r="A54" s="79" t="s">
        <v>189</v>
      </c>
      <c r="B54" s="21">
        <f>B37*16%</f>
        <v>58.648000000000003</v>
      </c>
      <c r="D54" s="37"/>
      <c r="H54" s="37"/>
      <c r="L54" s="37"/>
    </row>
    <row r="55" spans="1:12" x14ac:dyDescent="0.25">
      <c r="B55" s="21"/>
      <c r="D55" s="37"/>
      <c r="E55" t="s">
        <v>58</v>
      </c>
      <c r="G55" s="40">
        <v>850.19</v>
      </c>
      <c r="H55" s="37"/>
      <c r="L55" s="37"/>
    </row>
    <row r="56" spans="1:12" x14ac:dyDescent="0.25">
      <c r="D56" s="37"/>
      <c r="E56" t="s">
        <v>59</v>
      </c>
      <c r="G56" s="40">
        <v>233.54</v>
      </c>
      <c r="H56" s="37"/>
      <c r="L56" s="37"/>
    </row>
    <row r="57" spans="1:12" ht="15.75" thickBot="1" x14ac:dyDescent="0.3">
      <c r="D57" s="37"/>
      <c r="E57" t="s">
        <v>60</v>
      </c>
      <c r="G57" s="40"/>
      <c r="H57" s="37"/>
      <c r="L57" s="37"/>
    </row>
    <row r="58" spans="1:12" ht="15.75" thickBot="1" x14ac:dyDescent="0.3">
      <c r="A58" t="s">
        <v>44</v>
      </c>
      <c r="B58" s="33">
        <v>7197.35</v>
      </c>
      <c r="D58" s="37"/>
      <c r="H58" s="37"/>
      <c r="L58" s="37"/>
    </row>
    <row r="59" spans="1:12" ht="15.75" thickBot="1" x14ac:dyDescent="0.3">
      <c r="A59" t="s">
        <v>45</v>
      </c>
      <c r="B59" s="21">
        <f>'Sem 09'!B57</f>
        <v>7834.65</v>
      </c>
    </row>
    <row r="60" spans="1:12" ht="16.5" thickBot="1" x14ac:dyDescent="0.3">
      <c r="B60" s="21"/>
      <c r="E60" t="s">
        <v>65</v>
      </c>
      <c r="G60" s="48">
        <f>SUM(G48:G50)+SUM(G55:G57)</f>
        <v>4033.3399999999997</v>
      </c>
    </row>
    <row r="61" spans="1:12" x14ac:dyDescent="0.25">
      <c r="A61" t="s">
        <v>46</v>
      </c>
      <c r="B61" s="21">
        <f>B58-B59</f>
        <v>-637.29999999999927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0.59999389629810485"/>
    <pageSetUpPr fitToPage="1"/>
  </sheetPr>
  <dimension ref="A1:P61"/>
  <sheetViews>
    <sheetView topLeftCell="A28" workbookViewId="0">
      <selection activeCell="J32" sqref="J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43171</v>
      </c>
      <c r="C3" s="10"/>
      <c r="D3" s="9">
        <v>43172</v>
      </c>
      <c r="E3" s="10"/>
      <c r="F3" s="9">
        <v>43173</v>
      </c>
      <c r="G3" s="10"/>
      <c r="H3" s="9">
        <v>43174</v>
      </c>
      <c r="I3" s="10"/>
      <c r="J3" s="9">
        <v>43175</v>
      </c>
      <c r="K3" s="10"/>
      <c r="L3" s="9">
        <v>43176</v>
      </c>
      <c r="M3" s="10"/>
      <c r="N3" s="9">
        <v>43177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f>326.6+140.6</f>
        <v>467.20000000000005</v>
      </c>
      <c r="E4" s="12"/>
      <c r="F4" s="12"/>
      <c r="G4" s="12"/>
      <c r="H4" s="12">
        <f>569.8-326.5+23.09</f>
        <v>266.38999999999993</v>
      </c>
      <c r="I4" s="12">
        <v>802.06</v>
      </c>
      <c r="J4" s="12"/>
      <c r="K4" s="12"/>
      <c r="L4" s="12"/>
      <c r="M4" s="12"/>
      <c r="N4" s="12"/>
      <c r="O4" s="12">
        <f>B4+D4+F4+H4+J4+L4+N4</f>
        <v>733.58999999999992</v>
      </c>
      <c r="P4" s="12">
        <f>C4+E4+G4+I4+K4+M4</f>
        <v>802.06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108</v>
      </c>
      <c r="I5" s="14"/>
      <c r="J5" s="14"/>
      <c r="K5" s="14"/>
      <c r="L5" s="14"/>
      <c r="M5" s="14"/>
      <c r="N5" s="14"/>
      <c r="O5" s="12">
        <f t="shared" ref="O5:O23" si="0">B5+D5+F5+H5+J5+L5+N5</f>
        <v>108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163.25</v>
      </c>
      <c r="I6" s="14">
        <v>94.27</v>
      </c>
      <c r="J6" s="14"/>
      <c r="K6" s="14"/>
      <c r="L6" s="14"/>
      <c r="M6" s="14"/>
      <c r="N6" s="14"/>
      <c r="O6" s="12">
        <f t="shared" si="0"/>
        <v>163.25</v>
      </c>
      <c r="P6" s="12">
        <f t="shared" si="1"/>
        <v>94.27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521</v>
      </c>
      <c r="G7" s="14"/>
      <c r="H7" s="14"/>
      <c r="I7" s="14"/>
      <c r="J7" s="14">
        <f>668-521</f>
        <v>147</v>
      </c>
      <c r="K7" s="14">
        <v>708.08</v>
      </c>
      <c r="L7" s="14"/>
      <c r="M7" s="14"/>
      <c r="N7" s="14"/>
      <c r="O7" s="12">
        <f t="shared" si="0"/>
        <v>668</v>
      </c>
      <c r="P7" s="12">
        <f t="shared" si="1"/>
        <v>708.08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237.8</v>
      </c>
      <c r="I9" s="14">
        <v>252.07</v>
      </c>
      <c r="J9" s="14"/>
      <c r="K9" s="14"/>
      <c r="L9" s="14"/>
      <c r="M9" s="14"/>
      <c r="N9" s="14"/>
      <c r="O9" s="12">
        <f t="shared" si="0"/>
        <v>237.8</v>
      </c>
      <c r="P9" s="12">
        <f t="shared" si="1"/>
        <v>252.07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492.25</v>
      </c>
      <c r="K13" s="14"/>
      <c r="L13" s="14"/>
      <c r="M13" s="14"/>
      <c r="N13" s="14"/>
      <c r="O13" s="12">
        <f t="shared" si="0"/>
        <v>492.25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67.8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67.8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286.2</v>
      </c>
      <c r="I15" s="14">
        <v>580.88</v>
      </c>
      <c r="J15" s="14"/>
      <c r="K15" s="14"/>
      <c r="L15" s="14"/>
      <c r="M15" s="14"/>
      <c r="N15" s="14"/>
      <c r="O15" s="12">
        <f t="shared" si="0"/>
        <v>286.2</v>
      </c>
      <c r="P15" s="12">
        <f t="shared" si="1"/>
        <v>580.88</v>
      </c>
    </row>
    <row r="16" spans="1:16" ht="18.75" x14ac:dyDescent="0.3">
      <c r="A16" s="19" t="s">
        <v>22</v>
      </c>
      <c r="B16" s="13"/>
      <c r="C16" s="14"/>
      <c r="D16" s="14">
        <v>156.35</v>
      </c>
      <c r="E16" s="14">
        <f>74.82+205</f>
        <v>279.82</v>
      </c>
      <c r="F16" s="14"/>
      <c r="G16" s="14"/>
      <c r="H16" s="14">
        <v>217.95</v>
      </c>
      <c r="I16" s="14"/>
      <c r="J16" s="14"/>
      <c r="K16" s="14"/>
      <c r="L16" s="14"/>
      <c r="M16" s="14"/>
      <c r="N16" s="14"/>
      <c r="O16" s="12">
        <f t="shared" si="0"/>
        <v>374.29999999999995</v>
      </c>
      <c r="P16" s="12">
        <f t="shared" si="1"/>
        <v>279.82</v>
      </c>
    </row>
    <row r="17" spans="1:16" ht="18.75" x14ac:dyDescent="0.3">
      <c r="A17" s="18" t="s">
        <v>23</v>
      </c>
      <c r="B17" s="13"/>
      <c r="C17" s="14"/>
      <c r="D17" s="14">
        <v>132.6</v>
      </c>
      <c r="E17" s="14"/>
      <c r="F17" s="14"/>
      <c r="G17" s="14"/>
      <c r="H17" s="14">
        <v>50</v>
      </c>
      <c r="I17" s="14"/>
      <c r="J17" s="14"/>
      <c r="K17" s="14"/>
      <c r="L17" s="14"/>
      <c r="M17" s="14"/>
      <c r="N17" s="14"/>
      <c r="O17" s="12">
        <f t="shared" si="0"/>
        <v>182.6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109.75</v>
      </c>
      <c r="G18" s="14"/>
      <c r="H18" s="14"/>
      <c r="I18" s="14"/>
      <c r="J18" s="14">
        <f>357.15-109.75</f>
        <v>247.39999999999998</v>
      </c>
      <c r="K18" s="14">
        <v>676.61</v>
      </c>
      <c r="L18" s="14"/>
      <c r="M18" s="14"/>
      <c r="N18" s="14"/>
      <c r="O18" s="12">
        <f t="shared" si="0"/>
        <v>357.15</v>
      </c>
      <c r="P18" s="12">
        <f t="shared" si="1"/>
        <v>676.61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98.5</v>
      </c>
      <c r="I23" s="17">
        <v>98.5</v>
      </c>
      <c r="J23" s="17">
        <v>158.69999999999999</v>
      </c>
      <c r="K23" s="17">
        <v>158.69999999999999</v>
      </c>
      <c r="L23" s="17"/>
      <c r="M23" s="17"/>
      <c r="N23" s="17"/>
      <c r="O23" s="49">
        <f t="shared" si="0"/>
        <v>257.2</v>
      </c>
      <c r="P23" s="49">
        <f t="shared" si="1"/>
        <v>257.2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756.15000000000009</v>
      </c>
      <c r="E24" s="21">
        <f t="shared" si="2"/>
        <v>279.82</v>
      </c>
      <c r="F24" s="21">
        <f t="shared" si="2"/>
        <v>698.55</v>
      </c>
      <c r="G24" s="21">
        <f t="shared" si="2"/>
        <v>0</v>
      </c>
      <c r="H24" s="21">
        <f t="shared" si="2"/>
        <v>1428.09</v>
      </c>
      <c r="I24" s="21">
        <f t="shared" si="2"/>
        <v>1827.7799999999997</v>
      </c>
      <c r="J24" s="21">
        <f t="shared" si="2"/>
        <v>1045.3499999999999</v>
      </c>
      <c r="K24" s="21">
        <f t="shared" si="2"/>
        <v>1543.39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3928.1399999999994</v>
      </c>
      <c r="P24" s="50">
        <f t="shared" si="2"/>
        <v>3650.99</v>
      </c>
    </row>
    <row r="25" spans="1:16" ht="15.75" thickBot="1" x14ac:dyDescent="0.3">
      <c r="N25" t="s">
        <v>55</v>
      </c>
      <c r="O25" s="50">
        <f>SUM(B24+D24+F24+H24+J24+L24+N24)</f>
        <v>3928.14</v>
      </c>
      <c r="P25" s="50">
        <f>SUM(C24+E24+G24+I24+K24+M24)</f>
        <v>3650.99</v>
      </c>
    </row>
    <row r="26" spans="1:16" ht="15.75" thickBot="1" x14ac:dyDescent="0.3">
      <c r="A26" t="s">
        <v>27</v>
      </c>
      <c r="B26" s="22">
        <f>O24</f>
        <v>3928.1399999999994</v>
      </c>
      <c r="D26" s="5" t="s">
        <v>30</v>
      </c>
      <c r="E26" s="47">
        <f>B50*1.5</f>
        <v>6758.3112000000001</v>
      </c>
    </row>
    <row r="27" spans="1:16" x14ac:dyDescent="0.25">
      <c r="A27" t="s">
        <v>28</v>
      </c>
      <c r="B27" s="22">
        <f>P24</f>
        <v>3650.99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3928.1399999999994</v>
      </c>
      <c r="H32" s="37"/>
      <c r="I32" s="26" t="s">
        <v>50</v>
      </c>
      <c r="J32" s="44">
        <f>'Sem 10'!J32+'Sem 11'!F32</f>
        <v>14579.379999999997</v>
      </c>
      <c r="L32" s="37"/>
      <c r="M32" s="27" t="s">
        <v>50</v>
      </c>
      <c r="N32" s="45">
        <f>'Sem 10'!N32+'Sem 11'!F32</f>
        <v>53422.62</v>
      </c>
    </row>
    <row r="33" spans="1:15" x14ac:dyDescent="0.25">
      <c r="A33" t="s">
        <v>33</v>
      </c>
      <c r="B33" s="28">
        <f>IF(C33="","",(C33*1.16)+3.75+10)</f>
        <v>2172.0924</v>
      </c>
      <c r="C33" s="34">
        <v>1860.64</v>
      </c>
      <c r="D33" s="37"/>
      <c r="E33" s="25" t="s">
        <v>51</v>
      </c>
      <c r="F33" s="42">
        <f>B50</f>
        <v>4505.5407999999998</v>
      </c>
      <c r="H33" s="37"/>
      <c r="I33" s="26" t="s">
        <v>51</v>
      </c>
      <c r="J33" s="44">
        <f>'Sem 10'!J33+'Sem 11'!F33</f>
        <v>11879.335999999999</v>
      </c>
      <c r="L33" s="37"/>
      <c r="M33" s="27" t="s">
        <v>51</v>
      </c>
      <c r="N33" s="45">
        <f>'Sem 10'!N33+'Sem 11'!F33</f>
        <v>42796.637199999997</v>
      </c>
    </row>
    <row r="34" spans="1:15" x14ac:dyDescent="0.25">
      <c r="A34" t="s">
        <v>34</v>
      </c>
      <c r="B34" s="29">
        <f>IF(C34="","",(C34*1.16)+3.75+10)</f>
        <v>900.61639999999989</v>
      </c>
      <c r="C34" s="35">
        <v>764.54</v>
      </c>
      <c r="D34" s="37"/>
      <c r="E34" s="25"/>
      <c r="F34" s="25"/>
      <c r="H34" s="37"/>
      <c r="I34" s="26"/>
      <c r="J34" s="44"/>
      <c r="L34" s="37"/>
      <c r="M34" s="27"/>
      <c r="N34" s="45">
        <f>'Sem 10'!N34+'Sem 11'!F34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-577.40080000000034</v>
      </c>
      <c r="H35" s="37"/>
      <c r="I35" s="26" t="s">
        <v>52</v>
      </c>
      <c r="J35" s="44">
        <f>'Sem 10'!J35+'Sem 11'!F35</f>
        <v>2700.043999999999</v>
      </c>
      <c r="L35" s="37"/>
      <c r="M35" s="27" t="s">
        <v>52</v>
      </c>
      <c r="N35" s="45">
        <f>'Sem 10'!N35+'Sem 11'!F35</f>
        <v>10625.982800000002</v>
      </c>
    </row>
    <row r="36" spans="1:15" x14ac:dyDescent="0.25">
      <c r="A36" t="s">
        <v>36</v>
      </c>
      <c r="B36" s="31">
        <v>1032.1199999999999</v>
      </c>
      <c r="D36" s="37"/>
      <c r="E36" s="25" t="s">
        <v>53</v>
      </c>
      <c r="F36" s="43">
        <f>(F32-F33)/F33</f>
        <v>-0.12815349491452843</v>
      </c>
      <c r="H36" s="37"/>
      <c r="I36" s="26" t="s">
        <v>53</v>
      </c>
      <c r="J36" s="52">
        <f>(J32-J33)/J33</f>
        <v>0.22728913467890782</v>
      </c>
      <c r="L36" s="37"/>
      <c r="M36" s="27" t="s">
        <v>53</v>
      </c>
      <c r="N36" s="53">
        <f>(N32-N33)/N33</f>
        <v>0.24829013434728478</v>
      </c>
    </row>
    <row r="37" spans="1:15" x14ac:dyDescent="0.25">
      <c r="A37" t="s">
        <v>37</v>
      </c>
      <c r="B37" s="31">
        <v>263.8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E38" s="25" t="s">
        <v>222</v>
      </c>
      <c r="F38" s="130">
        <f>F32-N52</f>
        <v>3756.9999999999995</v>
      </c>
      <c r="H38" s="37"/>
      <c r="L38" s="37"/>
    </row>
    <row r="39" spans="1:15" x14ac:dyDescent="0.25">
      <c r="B39" s="21"/>
      <c r="D39" s="37"/>
      <c r="E39" s="25" t="s">
        <v>223</v>
      </c>
      <c r="F39" s="130">
        <f>F33-B43</f>
        <v>4368.6287999999995</v>
      </c>
      <c r="H39" s="37"/>
      <c r="L39" s="37"/>
      <c r="M39" t="s">
        <v>208</v>
      </c>
      <c r="N39" s="65">
        <f>N35</f>
        <v>10625.982800000002</v>
      </c>
    </row>
    <row r="40" spans="1:15" x14ac:dyDescent="0.25">
      <c r="B40" s="21"/>
      <c r="D40" s="37"/>
      <c r="E40" s="25" t="s">
        <v>224</v>
      </c>
      <c r="F40" s="130">
        <f>F38-F39</f>
        <v>-611.62879999999996</v>
      </c>
      <c r="H40" s="37"/>
      <c r="L40" s="37"/>
      <c r="M40" t="s">
        <v>209</v>
      </c>
      <c r="N40" s="65">
        <f>FRAIS!G44*_xlfn.ISOWEEKNUM(L3)</f>
        <v>10295.029038461536</v>
      </c>
    </row>
    <row r="41" spans="1:15" x14ac:dyDescent="0.25">
      <c r="B41" s="21"/>
      <c r="D41" s="37"/>
      <c r="E41" s="25" t="s">
        <v>225</v>
      </c>
      <c r="F41" s="131">
        <f>(F38-F39)/F39</f>
        <v>-0.14000475389440276</v>
      </c>
      <c r="H41" s="37"/>
      <c r="L41" s="37"/>
    </row>
    <row r="42" spans="1:15" x14ac:dyDescent="0.25">
      <c r="A42" s="2" t="s">
        <v>39</v>
      </c>
      <c r="B42" s="21"/>
      <c r="D42" s="37"/>
      <c r="H42" s="37"/>
      <c r="L42" s="37"/>
      <c r="M42" t="s">
        <v>210</v>
      </c>
      <c r="N42" s="65">
        <f>N39-N40</f>
        <v>330.95376153846519</v>
      </c>
    </row>
    <row r="43" spans="1:15" ht="15.75" thickBot="1" x14ac:dyDescent="0.3">
      <c r="A43" t="s">
        <v>40</v>
      </c>
      <c r="B43" s="21">
        <f>N53</f>
        <v>136.91200000000001</v>
      </c>
      <c r="D43" s="37"/>
      <c r="H43" s="37"/>
      <c r="L43" s="37"/>
    </row>
    <row r="44" spans="1:15" x14ac:dyDescent="0.25">
      <c r="A44" s="6"/>
      <c r="B44" s="21"/>
      <c r="D44" s="37"/>
      <c r="H44" s="37"/>
      <c r="L44" s="37"/>
      <c r="M44" s="121"/>
      <c r="N44" s="122" t="s">
        <v>217</v>
      </c>
      <c r="O44" s="123"/>
    </row>
    <row r="45" spans="1:15" x14ac:dyDescent="0.25">
      <c r="A45" s="6"/>
      <c r="B45" s="21"/>
      <c r="D45" s="37"/>
      <c r="H45" s="37"/>
      <c r="L45" s="37"/>
      <c r="M45" s="124" t="s">
        <v>218</v>
      </c>
      <c r="N45" s="129">
        <v>140.6</v>
      </c>
      <c r="O45" s="125"/>
    </row>
    <row r="46" spans="1:15" x14ac:dyDescent="0.25">
      <c r="A46" s="6"/>
      <c r="B46" s="21"/>
      <c r="D46" s="37"/>
      <c r="H46" s="37"/>
      <c r="L46" s="37"/>
      <c r="M46" s="124"/>
      <c r="N46" s="129">
        <v>7.45</v>
      </c>
      <c r="O46" s="125"/>
    </row>
    <row r="47" spans="1:15" x14ac:dyDescent="0.25">
      <c r="A47" s="6"/>
      <c r="B47" s="21"/>
      <c r="D47" s="37"/>
      <c r="H47" s="37"/>
      <c r="L47" s="37"/>
      <c r="M47" s="124"/>
      <c r="N47" s="129">
        <v>23.09</v>
      </c>
      <c r="O47" s="125"/>
    </row>
    <row r="48" spans="1:15" ht="15.75" x14ac:dyDescent="0.25">
      <c r="B48" s="21"/>
      <c r="D48" s="37"/>
      <c r="E48" t="s">
        <v>56</v>
      </c>
      <c r="G48" s="40">
        <v>2348.3000000000002</v>
      </c>
      <c r="H48" s="37"/>
      <c r="I48" s="38" t="s">
        <v>61</v>
      </c>
      <c r="J48" s="38"/>
      <c r="K48" s="39">
        <f>F32</f>
        <v>3928.1399999999994</v>
      </c>
      <c r="L48" s="37"/>
      <c r="M48" s="124"/>
      <c r="N48" s="129"/>
      <c r="O48" s="125"/>
    </row>
    <row r="49" spans="1:15" ht="15.75" thickBot="1" x14ac:dyDescent="0.3">
      <c r="B49" s="21"/>
      <c r="D49" s="37"/>
      <c r="G49" s="40">
        <v>656.96</v>
      </c>
      <c r="H49" s="37"/>
      <c r="L49" s="37"/>
      <c r="M49" s="124"/>
      <c r="N49" s="129"/>
      <c r="O49" s="125"/>
    </row>
    <row r="50" spans="1:15" ht="15.75" thickBot="1" x14ac:dyDescent="0.3">
      <c r="A50" t="s">
        <v>42</v>
      </c>
      <c r="B50" s="33">
        <f>SUM(B33:B48)</f>
        <v>4505.5407999999998</v>
      </c>
      <c r="D50" s="37"/>
      <c r="G50" s="40"/>
      <c r="H50" s="37"/>
      <c r="I50" t="s">
        <v>62</v>
      </c>
      <c r="J50">
        <v>3722.84</v>
      </c>
      <c r="K50" s="41">
        <f>J50/K48</f>
        <v>0.94773607865300136</v>
      </c>
      <c r="L50" s="37"/>
      <c r="M50" s="124"/>
      <c r="N50" s="129"/>
      <c r="O50" s="125"/>
    </row>
    <row r="51" spans="1:15" ht="15.75" x14ac:dyDescent="0.25">
      <c r="B51" s="21"/>
      <c r="D51" s="37"/>
      <c r="F51" t="s">
        <v>57</v>
      </c>
      <c r="G51" s="39">
        <f>SUM(G48:G50)</f>
        <v>3005.26</v>
      </c>
      <c r="H51" s="37"/>
      <c r="I51" t="s">
        <v>63</v>
      </c>
      <c r="J51" s="22">
        <f>K48-J50</f>
        <v>205.29999999999927</v>
      </c>
      <c r="K51" s="41">
        <f>J51/K48</f>
        <v>5.2263921346998657E-2</v>
      </c>
      <c r="L51" s="37"/>
      <c r="M51" s="124"/>
      <c r="N51" s="129"/>
      <c r="O51" s="125"/>
    </row>
    <row r="52" spans="1:15" x14ac:dyDescent="0.25">
      <c r="A52" t="s">
        <v>43</v>
      </c>
      <c r="B52" s="21"/>
      <c r="D52" s="37"/>
      <c r="H52" s="37"/>
      <c r="L52" s="37"/>
      <c r="M52" s="124" t="s">
        <v>219</v>
      </c>
      <c r="N52" s="129">
        <f>SUM(N45:N51)</f>
        <v>171.14</v>
      </c>
      <c r="O52" s="125"/>
    </row>
    <row r="53" spans="1:15" x14ac:dyDescent="0.25">
      <c r="B53" s="21"/>
      <c r="D53" s="37"/>
      <c r="E53" t="s">
        <v>58</v>
      </c>
      <c r="G53" s="40">
        <v>1333.38</v>
      </c>
      <c r="H53" s="37"/>
      <c r="L53" s="37"/>
      <c r="M53" s="124" t="s">
        <v>220</v>
      </c>
      <c r="N53" s="129">
        <f>N52*0.8</f>
        <v>136.91200000000001</v>
      </c>
      <c r="O53" s="125"/>
    </row>
    <row r="54" spans="1:15" x14ac:dyDescent="0.25">
      <c r="A54" t="s">
        <v>43</v>
      </c>
      <c r="B54" s="21"/>
      <c r="D54" s="37"/>
      <c r="E54" t="s">
        <v>59</v>
      </c>
      <c r="G54" s="40">
        <v>305.68</v>
      </c>
      <c r="H54" s="37"/>
      <c r="L54" s="37"/>
      <c r="M54" s="124" t="s">
        <v>221</v>
      </c>
      <c r="N54" s="129">
        <f>N52-N53</f>
        <v>34.22799999999998</v>
      </c>
      <c r="O54" s="125"/>
    </row>
    <row r="55" spans="1:15" x14ac:dyDescent="0.25">
      <c r="A55" s="6" t="s">
        <v>188</v>
      </c>
      <c r="B55" s="21">
        <v>9.35</v>
      </c>
      <c r="D55" s="37"/>
      <c r="E55" t="s">
        <v>60</v>
      </c>
      <c r="G55" s="40"/>
      <c r="H55" s="37"/>
      <c r="L55" s="37"/>
      <c r="M55" s="124"/>
      <c r="N55" s="85"/>
      <c r="O55" s="125"/>
    </row>
    <row r="56" spans="1:15" x14ac:dyDescent="0.25">
      <c r="A56" s="79" t="s">
        <v>189</v>
      </c>
      <c r="B56" s="21">
        <f>B37*16%</f>
        <v>42.208000000000006</v>
      </c>
      <c r="D56" s="37"/>
      <c r="G56" s="129"/>
      <c r="H56" s="37"/>
      <c r="L56" s="37"/>
      <c r="M56" s="124"/>
      <c r="N56" s="85"/>
      <c r="O56" s="125"/>
    </row>
    <row r="57" spans="1:15" ht="15.75" thickBot="1" x14ac:dyDescent="0.3">
      <c r="D57" s="37"/>
      <c r="H57" s="37"/>
      <c r="L57" s="37"/>
      <c r="M57" s="126"/>
      <c r="N57" s="127"/>
      <c r="O57" s="128"/>
    </row>
    <row r="58" spans="1:15" ht="15.75" thickBot="1" x14ac:dyDescent="0.3">
      <c r="A58" t="s">
        <v>44</v>
      </c>
      <c r="B58" s="33">
        <v>7055.76</v>
      </c>
    </row>
    <row r="59" spans="1:15" ht="16.5" thickBot="1" x14ac:dyDescent="0.3">
      <c r="A59" t="s">
        <v>45</v>
      </c>
      <c r="B59" s="21">
        <f>'Sem 10'!B58</f>
        <v>7197.35</v>
      </c>
      <c r="E59" t="s">
        <v>65</v>
      </c>
      <c r="G59" s="48">
        <f>SUM(G48:G50)+SUM(G53:G55)</f>
        <v>4644.3200000000006</v>
      </c>
    </row>
    <row r="60" spans="1:15" x14ac:dyDescent="0.25">
      <c r="B60" s="21"/>
    </row>
    <row r="61" spans="1:15" x14ac:dyDescent="0.25">
      <c r="A61" t="s">
        <v>46</v>
      </c>
      <c r="B61" s="21">
        <f>B58-B59</f>
        <v>-141.59000000000015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59999389629810485"/>
    <pageSetUpPr fitToPage="1"/>
  </sheetPr>
  <dimension ref="A1:P60"/>
  <sheetViews>
    <sheetView topLeftCell="A19" workbookViewId="0">
      <selection activeCell="N40" sqref="N4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43178</v>
      </c>
      <c r="C3" s="10"/>
      <c r="D3" s="9">
        <v>43179</v>
      </c>
      <c r="E3" s="10"/>
      <c r="F3" s="9">
        <v>43180</v>
      </c>
      <c r="G3" s="10"/>
      <c r="H3" s="9">
        <v>43181</v>
      </c>
      <c r="I3" s="10"/>
      <c r="J3" s="9">
        <v>43182</v>
      </c>
      <c r="K3" s="10"/>
      <c r="L3" s="9">
        <v>43183</v>
      </c>
      <c r="M3" s="10"/>
      <c r="N3" s="9">
        <v>43184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283.10000000000002</v>
      </c>
      <c r="E4" s="12"/>
      <c r="F4" s="12"/>
      <c r="G4" s="12"/>
      <c r="H4" s="12">
        <f>436.8-283.1</f>
        <v>153.69999999999999</v>
      </c>
      <c r="I4" s="12"/>
      <c r="J4" s="12"/>
      <c r="K4" s="12"/>
      <c r="L4" s="12"/>
      <c r="M4" s="12"/>
      <c r="N4" s="12"/>
      <c r="O4" s="12">
        <f>B4+D4+F4+H4+J4+L4+N4</f>
        <v>436.8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>
        <v>24</v>
      </c>
      <c r="E5" s="14"/>
      <c r="F5" s="14"/>
      <c r="G5" s="14"/>
      <c r="H5" s="14">
        <v>57</v>
      </c>
      <c r="I5" s="14"/>
      <c r="J5" s="14"/>
      <c r="K5" s="14"/>
      <c r="L5" s="14"/>
      <c r="M5" s="14"/>
      <c r="N5" s="14"/>
      <c r="O5" s="12">
        <f t="shared" ref="O5:O23" si="0">B5+D5+F5+H5+J5+L5+N5</f>
        <v>81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176.5</v>
      </c>
      <c r="E6" s="14"/>
      <c r="F6" s="14"/>
      <c r="G6" s="14"/>
      <c r="H6" s="14">
        <v>123.6</v>
      </c>
      <c r="I6" s="14"/>
      <c r="J6" s="14"/>
      <c r="K6" s="14"/>
      <c r="L6" s="14"/>
      <c r="M6" s="14"/>
      <c r="N6" s="14"/>
      <c r="O6" s="12">
        <f t="shared" si="0"/>
        <v>300.10000000000002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370.8</v>
      </c>
      <c r="G7" s="14"/>
      <c r="H7" s="14"/>
      <c r="I7" s="14"/>
      <c r="J7" s="14">
        <f>544.3-370.8+44.65</f>
        <v>218.14999999999995</v>
      </c>
      <c r="K7" s="14">
        <v>378.58</v>
      </c>
      <c r="L7" s="14"/>
      <c r="M7" s="14"/>
      <c r="N7" s="14"/>
      <c r="O7" s="12">
        <f t="shared" si="0"/>
        <v>588.94999999999993</v>
      </c>
      <c r="P7" s="12">
        <f t="shared" si="1"/>
        <v>378.58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397.6</v>
      </c>
      <c r="I9" s="14">
        <v>421.46</v>
      </c>
      <c r="J9" s="14"/>
      <c r="K9" s="14"/>
      <c r="L9" s="14"/>
      <c r="M9" s="14"/>
      <c r="N9" s="14"/>
      <c r="O9" s="12">
        <f t="shared" si="0"/>
        <v>397.6</v>
      </c>
      <c r="P9" s="12">
        <f t="shared" si="1"/>
        <v>421.46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733.05</v>
      </c>
      <c r="K13" s="14"/>
      <c r="L13" s="14"/>
      <c r="M13" s="14"/>
      <c r="N13" s="14"/>
      <c r="O13" s="12">
        <f t="shared" si="0"/>
        <v>733.05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93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93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>
        <v>201.85</v>
      </c>
      <c r="G15" s="14"/>
      <c r="H15" s="14">
        <v>193.3</v>
      </c>
      <c r="I15" s="14">
        <v>303.37</v>
      </c>
      <c r="J15" s="14"/>
      <c r="K15" s="14"/>
      <c r="L15" s="14"/>
      <c r="M15" s="14"/>
      <c r="N15" s="14"/>
      <c r="O15" s="12">
        <f t="shared" si="0"/>
        <v>395.15</v>
      </c>
      <c r="P15" s="12">
        <f t="shared" si="1"/>
        <v>303.37</v>
      </c>
    </row>
    <row r="16" spans="1:16" ht="18.75" x14ac:dyDescent="0.3">
      <c r="A16" s="19" t="s">
        <v>22</v>
      </c>
      <c r="B16" s="13"/>
      <c r="C16" s="14"/>
      <c r="D16" s="14">
        <v>87.5</v>
      </c>
      <c r="E16" s="14">
        <f>33.03+280</f>
        <v>313.02999999999997</v>
      </c>
      <c r="F16" s="14"/>
      <c r="G16" s="14"/>
      <c r="H16" s="14">
        <v>130.5</v>
      </c>
      <c r="I16" s="14"/>
      <c r="J16" s="14"/>
      <c r="K16" s="14"/>
      <c r="L16" s="14"/>
      <c r="M16" s="14"/>
      <c r="N16" s="14"/>
      <c r="O16" s="12">
        <f t="shared" si="0"/>
        <v>218</v>
      </c>
      <c r="P16" s="12">
        <f t="shared" si="1"/>
        <v>313.02999999999997</v>
      </c>
    </row>
    <row r="17" spans="1:16" ht="18.75" x14ac:dyDescent="0.3">
      <c r="A17" s="18" t="s">
        <v>23</v>
      </c>
      <c r="B17" s="13"/>
      <c r="C17" s="14"/>
      <c r="D17" s="14">
        <v>144.9</v>
      </c>
      <c r="E17" s="14"/>
      <c r="F17" s="14"/>
      <c r="G17" s="14"/>
      <c r="H17" s="14">
        <v>139.19999999999999</v>
      </c>
      <c r="I17" s="14"/>
      <c r="J17" s="14"/>
      <c r="K17" s="14"/>
      <c r="L17" s="14"/>
      <c r="M17" s="14"/>
      <c r="N17" s="14"/>
      <c r="O17" s="12">
        <f t="shared" si="0"/>
        <v>284.10000000000002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197.6</v>
      </c>
      <c r="G18" s="14"/>
      <c r="H18" s="14"/>
      <c r="I18" s="14"/>
      <c r="J18" s="14">
        <f>446.6-197.6</f>
        <v>249.00000000000003</v>
      </c>
      <c r="K18" s="14"/>
      <c r="L18" s="14"/>
      <c r="M18" s="14"/>
      <c r="N18" s="14"/>
      <c r="O18" s="12">
        <f t="shared" si="0"/>
        <v>446.6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118.7</v>
      </c>
      <c r="G23" s="17">
        <v>118.7</v>
      </c>
      <c r="H23" s="17"/>
      <c r="I23" s="17"/>
      <c r="J23" s="17"/>
      <c r="K23" s="17"/>
      <c r="L23" s="17"/>
      <c r="M23" s="17"/>
      <c r="N23" s="17"/>
      <c r="O23" s="49">
        <f t="shared" si="0"/>
        <v>118.7</v>
      </c>
      <c r="P23" s="49">
        <f t="shared" si="1"/>
        <v>118.7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716</v>
      </c>
      <c r="E24" s="21">
        <f t="shared" si="2"/>
        <v>313.02999999999997</v>
      </c>
      <c r="F24" s="21">
        <f t="shared" si="2"/>
        <v>981.95</v>
      </c>
      <c r="G24" s="21">
        <f t="shared" si="2"/>
        <v>118.7</v>
      </c>
      <c r="H24" s="21">
        <f t="shared" si="2"/>
        <v>1194.9000000000001</v>
      </c>
      <c r="I24" s="21">
        <f t="shared" si="2"/>
        <v>724.82999999999993</v>
      </c>
      <c r="J24" s="21">
        <f t="shared" si="2"/>
        <v>1200.2</v>
      </c>
      <c r="K24" s="21">
        <f t="shared" si="2"/>
        <v>378.58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4093.0499999999997</v>
      </c>
      <c r="P24" s="50">
        <f t="shared" si="2"/>
        <v>1535.1399999999999</v>
      </c>
    </row>
    <row r="25" spans="1:16" ht="15.75" thickBot="1" x14ac:dyDescent="0.3">
      <c r="N25" t="s">
        <v>55</v>
      </c>
      <c r="O25" s="50">
        <f>SUM(B24+D24+F24+H24+J24+L24+N24)</f>
        <v>4093.05</v>
      </c>
      <c r="P25" s="50">
        <f>SUM(C24+E24+G24+I24+K24+M24)</f>
        <v>1535.1399999999999</v>
      </c>
    </row>
    <row r="26" spans="1:16" ht="15.75" thickBot="1" x14ac:dyDescent="0.3">
      <c r="A26" t="s">
        <v>27</v>
      </c>
      <c r="B26" s="22">
        <f>O24</f>
        <v>4093.0499999999997</v>
      </c>
      <c r="D26" s="5" t="s">
        <v>30</v>
      </c>
      <c r="E26" s="47">
        <f>B50*1.5</f>
        <v>3839.1977999999999</v>
      </c>
    </row>
    <row r="27" spans="1:16" x14ac:dyDescent="0.25">
      <c r="A27" t="s">
        <v>28</v>
      </c>
      <c r="B27" s="22">
        <f>P24</f>
        <v>1535.1399999999999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4093.0499999999997</v>
      </c>
      <c r="H32" s="37"/>
      <c r="I32" s="26" t="s">
        <v>50</v>
      </c>
      <c r="J32" s="44">
        <f>'Sem 11'!J32+'Sem 12'!F32</f>
        <v>18672.429999999997</v>
      </c>
      <c r="L32" s="37"/>
      <c r="M32" s="27" t="s">
        <v>50</v>
      </c>
      <c r="N32" s="45">
        <f>'Sem 11'!N32+'Sem 12'!F32</f>
        <v>57515.670000000006</v>
      </c>
    </row>
    <row r="33" spans="1:15" x14ac:dyDescent="0.25">
      <c r="A33" t="s">
        <v>33</v>
      </c>
      <c r="B33" s="28">
        <f>IF(C33="","",(C33*1.16)+3.75+10)</f>
        <v>1443.1251999999999</v>
      </c>
      <c r="C33" s="34">
        <v>1232.22</v>
      </c>
      <c r="D33" s="37"/>
      <c r="E33" s="25" t="s">
        <v>51</v>
      </c>
      <c r="F33" s="42">
        <f>B50</f>
        <v>2559.4652000000001</v>
      </c>
      <c r="H33" s="37"/>
      <c r="I33" s="26" t="s">
        <v>51</v>
      </c>
      <c r="J33" s="44">
        <f>'Sem 11'!J33+'Sem 12'!F33</f>
        <v>14438.8012</v>
      </c>
      <c r="L33" s="37"/>
      <c r="M33" s="27" t="s">
        <v>51</v>
      </c>
      <c r="N33" s="45">
        <f>'Sem 11'!N33+'Sem 12'!F33</f>
        <v>45356.102399999996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26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1533.5847999999996</v>
      </c>
      <c r="H35" s="37"/>
      <c r="I35" s="26" t="s">
        <v>52</v>
      </c>
      <c r="J35" s="44">
        <f>J32-J33</f>
        <v>4233.6287999999968</v>
      </c>
      <c r="L35" s="37"/>
      <c r="M35" s="27" t="s">
        <v>52</v>
      </c>
      <c r="N35" s="45">
        <f>'Sem 11'!N35+'Sem 12'!F35</f>
        <v>12159.567600000002</v>
      </c>
    </row>
    <row r="36" spans="1:15" x14ac:dyDescent="0.25">
      <c r="A36" t="s">
        <v>36</v>
      </c>
      <c r="B36" s="31"/>
      <c r="D36" s="37"/>
      <c r="E36" s="25" t="s">
        <v>53</v>
      </c>
      <c r="F36" s="43">
        <f>(F32-F33)/F33</f>
        <v>0.59918173530939178</v>
      </c>
      <c r="H36" s="37"/>
      <c r="I36" s="26" t="s">
        <v>53</v>
      </c>
      <c r="J36" s="52">
        <f>(J32-J33)/J33</f>
        <v>0.29321193230363174</v>
      </c>
      <c r="L36" s="37"/>
      <c r="M36" s="27" t="s">
        <v>53</v>
      </c>
      <c r="N36" s="53">
        <f>(N32-N33)/N33</f>
        <v>0.26809110475947795</v>
      </c>
    </row>
    <row r="37" spans="1:15" x14ac:dyDescent="0.25">
      <c r="A37" t="s">
        <v>37</v>
      </c>
      <c r="B37" s="31">
        <v>1028.5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E38" s="25" t="s">
        <v>222</v>
      </c>
      <c r="F38" s="130">
        <f>F32-N53</f>
        <v>3983.2499999999995</v>
      </c>
      <c r="H38" s="37"/>
      <c r="L38" s="37"/>
    </row>
    <row r="39" spans="1:15" x14ac:dyDescent="0.25">
      <c r="B39" s="21"/>
      <c r="D39" s="37"/>
      <c r="E39" s="25" t="s">
        <v>223</v>
      </c>
      <c r="F39" s="130">
        <f>F33-B43</f>
        <v>2471.6251999999999</v>
      </c>
      <c r="H39" s="37"/>
      <c r="L39" s="37"/>
      <c r="M39" t="s">
        <v>208</v>
      </c>
      <c r="N39" s="65">
        <f>N35</f>
        <v>12159.567600000002</v>
      </c>
    </row>
    <row r="40" spans="1:15" x14ac:dyDescent="0.25">
      <c r="B40" s="21"/>
      <c r="D40" s="37"/>
      <c r="E40" s="25" t="s">
        <v>224</v>
      </c>
      <c r="F40" s="130">
        <f>F38-F39</f>
        <v>1511.6247999999996</v>
      </c>
      <c r="H40" s="37"/>
      <c r="L40" s="37"/>
      <c r="M40" t="s">
        <v>209</v>
      </c>
      <c r="N40" s="65">
        <f>FRAIS!G44*_xlfn.ISOWEEKNUM(L3)</f>
        <v>11230.940769230769</v>
      </c>
    </row>
    <row r="41" spans="1:15" x14ac:dyDescent="0.25">
      <c r="B41" s="21"/>
      <c r="D41" s="37"/>
      <c r="E41" s="25" t="s">
        <v>225</v>
      </c>
      <c r="F41" s="131">
        <f>(F38-F39)/F39</f>
        <v>0.61159143384684689</v>
      </c>
      <c r="H41" s="37"/>
      <c r="L41" s="37"/>
    </row>
    <row r="42" spans="1:15" x14ac:dyDescent="0.25">
      <c r="A42" s="2" t="s">
        <v>39</v>
      </c>
      <c r="B42" s="21"/>
      <c r="D42" s="37"/>
      <c r="H42" s="37"/>
      <c r="L42" s="37"/>
      <c r="M42" t="s">
        <v>210</v>
      </c>
      <c r="N42" s="65">
        <f>N39-N40</f>
        <v>928.62683076923349</v>
      </c>
    </row>
    <row r="43" spans="1:15" x14ac:dyDescent="0.25">
      <c r="A43" t="s">
        <v>40</v>
      </c>
      <c r="B43" s="21">
        <f>N54</f>
        <v>87.840000000000018</v>
      </c>
      <c r="D43" s="37"/>
      <c r="H43" s="37"/>
      <c r="L43" s="37"/>
    </row>
    <row r="44" spans="1:15" ht="15.75" thickBot="1" x14ac:dyDescent="0.3">
      <c r="A44" s="6"/>
      <c r="B44" s="21"/>
      <c r="D44" s="37"/>
      <c r="H44" s="37"/>
      <c r="L44" s="37"/>
    </row>
    <row r="45" spans="1:15" x14ac:dyDescent="0.25">
      <c r="A45" s="6"/>
      <c r="B45" s="21"/>
      <c r="D45" s="37"/>
      <c r="H45" s="37"/>
      <c r="L45" s="37"/>
      <c r="M45" s="121"/>
      <c r="N45" s="122" t="s">
        <v>217</v>
      </c>
      <c r="O45" s="123"/>
    </row>
    <row r="46" spans="1:15" x14ac:dyDescent="0.25">
      <c r="A46" s="6"/>
      <c r="B46" s="21"/>
      <c r="D46" s="37"/>
      <c r="H46" s="37"/>
      <c r="L46" s="37"/>
      <c r="M46" s="124" t="s">
        <v>218</v>
      </c>
      <c r="N46" s="129">
        <v>44.65</v>
      </c>
      <c r="O46" s="125"/>
    </row>
    <row r="47" spans="1:15" x14ac:dyDescent="0.25">
      <c r="A47" s="6"/>
      <c r="B47" s="21"/>
      <c r="D47" s="37"/>
      <c r="H47" s="37"/>
      <c r="L47" s="37"/>
      <c r="M47" s="124"/>
      <c r="N47" s="129">
        <v>65.150000000000006</v>
      </c>
      <c r="O47" s="125"/>
    </row>
    <row r="48" spans="1:15" ht="15.75" x14ac:dyDescent="0.25">
      <c r="B48" s="21"/>
      <c r="D48" s="37"/>
      <c r="E48" t="s">
        <v>56</v>
      </c>
      <c r="G48" s="40">
        <v>1521.08</v>
      </c>
      <c r="H48" s="37"/>
      <c r="I48" s="38" t="s">
        <v>61</v>
      </c>
      <c r="J48" s="38"/>
      <c r="K48" s="39">
        <f>F32</f>
        <v>4093.0499999999997</v>
      </c>
      <c r="L48" s="37"/>
      <c r="M48" s="124"/>
      <c r="N48" s="129"/>
      <c r="O48" s="125"/>
    </row>
    <row r="49" spans="1:15" ht="15.75" thickBot="1" x14ac:dyDescent="0.3">
      <c r="B49" s="21"/>
      <c r="D49" s="37"/>
      <c r="G49" s="40"/>
      <c r="H49" s="37"/>
      <c r="L49" s="37"/>
      <c r="M49" s="124"/>
      <c r="N49" s="129"/>
      <c r="O49" s="125"/>
    </row>
    <row r="50" spans="1:15" ht="15.75" thickBot="1" x14ac:dyDescent="0.3">
      <c r="A50" t="s">
        <v>42</v>
      </c>
      <c r="B50" s="33">
        <f>SUM(B33:B48)</f>
        <v>2559.4652000000001</v>
      </c>
      <c r="D50" s="37"/>
      <c r="G50" s="40"/>
      <c r="H50" s="37"/>
      <c r="I50" t="s">
        <v>62</v>
      </c>
      <c r="J50">
        <v>3974.35</v>
      </c>
      <c r="K50" s="41">
        <f>J50/K48</f>
        <v>0.97099962130929263</v>
      </c>
      <c r="L50" s="37"/>
      <c r="M50" s="124"/>
      <c r="N50" s="129"/>
      <c r="O50" s="125"/>
    </row>
    <row r="51" spans="1:15" ht="15.75" x14ac:dyDescent="0.25">
      <c r="B51" s="21"/>
      <c r="D51" s="37"/>
      <c r="F51" t="s">
        <v>57</v>
      </c>
      <c r="G51" s="39">
        <f>SUM(G48:G50)</f>
        <v>1521.08</v>
      </c>
      <c r="H51" s="37"/>
      <c r="I51" t="s">
        <v>63</v>
      </c>
      <c r="J51" s="22">
        <f>K48-J50</f>
        <v>118.69999999999982</v>
      </c>
      <c r="K51" s="41">
        <f>J51/K48</f>
        <v>2.9000378690707377E-2</v>
      </c>
      <c r="L51" s="37"/>
      <c r="M51" s="124"/>
      <c r="N51" s="129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129"/>
      <c r="O52" s="125"/>
    </row>
    <row r="53" spans="1:15" x14ac:dyDescent="0.25">
      <c r="A53" s="6" t="s">
        <v>188</v>
      </c>
      <c r="B53" s="21">
        <v>9.35</v>
      </c>
      <c r="D53" s="37"/>
      <c r="E53" t="s">
        <v>58</v>
      </c>
      <c r="G53" s="40"/>
      <c r="H53" s="37"/>
      <c r="L53" s="37"/>
      <c r="M53" s="124" t="s">
        <v>219</v>
      </c>
      <c r="N53" s="129">
        <f>SUM(N46:N52)</f>
        <v>109.80000000000001</v>
      </c>
      <c r="O53" s="125"/>
    </row>
    <row r="54" spans="1:15" x14ac:dyDescent="0.25">
      <c r="A54" s="79" t="s">
        <v>189</v>
      </c>
      <c r="B54" s="21">
        <f>B37*16%</f>
        <v>164.56</v>
      </c>
      <c r="D54" s="37"/>
      <c r="E54" t="s">
        <v>59</v>
      </c>
      <c r="G54" s="40"/>
      <c r="H54" s="37"/>
      <c r="L54" s="37"/>
      <c r="M54" s="124" t="s">
        <v>220</v>
      </c>
      <c r="N54" s="129">
        <f>N53*0.8</f>
        <v>87.840000000000018</v>
      </c>
      <c r="O54" s="125"/>
    </row>
    <row r="55" spans="1:15" ht="15.75" thickBot="1" x14ac:dyDescent="0.3">
      <c r="D55" s="37"/>
      <c r="E55" t="s">
        <v>60</v>
      </c>
      <c r="G55" s="40">
        <v>1166.6600000000001</v>
      </c>
      <c r="H55" s="37"/>
      <c r="L55" s="37"/>
      <c r="M55" s="124" t="s">
        <v>221</v>
      </c>
      <c r="N55" s="129">
        <f>N53-N54</f>
        <v>21.959999999999994</v>
      </c>
      <c r="O55" s="125"/>
    </row>
    <row r="56" spans="1:15" ht="15.75" thickBot="1" x14ac:dyDescent="0.3">
      <c r="A56" t="s">
        <v>44</v>
      </c>
      <c r="B56" s="33">
        <v>6084.98</v>
      </c>
      <c r="D56" s="37"/>
      <c r="H56" s="37"/>
      <c r="L56" s="37"/>
      <c r="M56" s="124"/>
      <c r="N56" s="85"/>
      <c r="O56" s="125"/>
    </row>
    <row r="57" spans="1:15" ht="15.75" thickBot="1" x14ac:dyDescent="0.3">
      <c r="A57" t="s">
        <v>45</v>
      </c>
      <c r="B57" s="21">
        <f>'Sem 11'!B58</f>
        <v>7055.76</v>
      </c>
      <c r="M57" s="124"/>
      <c r="N57" s="85"/>
      <c r="O57" s="125"/>
    </row>
    <row r="58" spans="1:15" ht="16.5" thickBot="1" x14ac:dyDescent="0.3">
      <c r="B58" s="21"/>
      <c r="E58" t="s">
        <v>65</v>
      </c>
      <c r="G58" s="48">
        <f>SUM(G48:G50)+SUM(G53:G55)</f>
        <v>2687.74</v>
      </c>
      <c r="M58" s="126"/>
      <c r="N58" s="127"/>
      <c r="O58" s="128"/>
    </row>
    <row r="59" spans="1:15" x14ac:dyDescent="0.25">
      <c r="A59" t="s">
        <v>46</v>
      </c>
      <c r="B59" s="21">
        <f>B56-B57</f>
        <v>-970.78000000000065</v>
      </c>
    </row>
    <row r="60" spans="1:15" x14ac:dyDescent="0.25">
      <c r="B60" t="s">
        <v>134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P59"/>
  <sheetViews>
    <sheetView topLeftCell="A25" workbookViewId="0">
      <selection activeCell="N40" sqref="N4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43185</v>
      </c>
      <c r="C3" s="10"/>
      <c r="D3" s="9">
        <v>43186</v>
      </c>
      <c r="E3" s="10"/>
      <c r="F3" s="9">
        <v>43187</v>
      </c>
      <c r="G3" s="10"/>
      <c r="H3" s="9">
        <v>43188</v>
      </c>
      <c r="I3" s="10"/>
      <c r="J3" s="9">
        <v>43189</v>
      </c>
      <c r="K3" s="10"/>
      <c r="L3" s="9">
        <v>43190</v>
      </c>
      <c r="M3" s="10"/>
      <c r="N3" s="9">
        <v>43191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344</v>
      </c>
      <c r="E4" s="12"/>
      <c r="F4" s="12"/>
      <c r="G4" s="12"/>
      <c r="H4" s="12">
        <f>870.5-344+25.15</f>
        <v>551.65</v>
      </c>
      <c r="I4" s="12">
        <v>953.16</v>
      </c>
      <c r="J4" s="12"/>
      <c r="K4" s="12"/>
      <c r="L4" s="12"/>
      <c r="M4" s="12"/>
      <c r="N4" s="12"/>
      <c r="O4" s="12">
        <f>B4+D4+F4+H4+J4+L4+N4</f>
        <v>895.65</v>
      </c>
      <c r="P4" s="12">
        <f>C4+E4+G4+I4+K4+M4</f>
        <v>953.16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108</v>
      </c>
      <c r="I5" s="14"/>
      <c r="J5" s="14"/>
      <c r="K5" s="14"/>
      <c r="L5" s="14"/>
      <c r="M5" s="14"/>
      <c r="N5" s="14"/>
      <c r="O5" s="12">
        <f t="shared" ref="O5:O23" si="0">B5+D5+F5+H5+J5+L5+N5</f>
        <v>108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313.60000000000002</v>
      </c>
      <c r="E6" s="14">
        <v>200</v>
      </c>
      <c r="F6" s="14"/>
      <c r="G6" s="14"/>
      <c r="H6" s="14">
        <v>375</v>
      </c>
      <c r="I6" s="14">
        <v>249.55</v>
      </c>
      <c r="J6" s="14"/>
      <c r="K6" s="14"/>
      <c r="L6" s="14"/>
      <c r="M6" s="14"/>
      <c r="N6" s="14"/>
      <c r="O6" s="12">
        <f t="shared" si="0"/>
        <v>688.6</v>
      </c>
      <c r="P6" s="12">
        <f t="shared" si="1"/>
        <v>449.55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641.04999999999995</v>
      </c>
      <c r="K7" s="14">
        <v>679.51</v>
      </c>
      <c r="L7" s="14"/>
      <c r="M7" s="14"/>
      <c r="N7" s="14"/>
      <c r="O7" s="12">
        <f t="shared" si="0"/>
        <v>641.04999999999995</v>
      </c>
      <c r="P7" s="12">
        <f t="shared" si="1"/>
        <v>679.51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>
        <v>150.69999999999999</v>
      </c>
      <c r="K8" s="14">
        <v>159.74</v>
      </c>
      <c r="L8" s="14"/>
      <c r="M8" s="14"/>
      <c r="N8" s="14"/>
      <c r="O8" s="12">
        <f t="shared" si="0"/>
        <v>150.69999999999999</v>
      </c>
      <c r="P8" s="12">
        <f t="shared" si="1"/>
        <v>159.74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442.05</v>
      </c>
      <c r="I9" s="14">
        <v>468.57</v>
      </c>
      <c r="J9" s="14"/>
      <c r="K9" s="14"/>
      <c r="L9" s="14"/>
      <c r="M9" s="14"/>
      <c r="N9" s="14"/>
      <c r="O9" s="12">
        <f t="shared" si="0"/>
        <v>442.05</v>
      </c>
      <c r="P9" s="12">
        <f t="shared" si="1"/>
        <v>468.57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593.15</v>
      </c>
      <c r="K13" s="14"/>
      <c r="L13" s="14"/>
      <c r="M13" s="14"/>
      <c r="N13" s="14"/>
      <c r="O13" s="12">
        <f t="shared" si="0"/>
        <v>593.15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108.3</v>
      </c>
      <c r="G14" s="14">
        <f>126.98+98.58</f>
        <v>225.56</v>
      </c>
      <c r="H14" s="14"/>
      <c r="I14" s="14"/>
      <c r="J14" s="14"/>
      <c r="K14" s="14"/>
      <c r="L14" s="14"/>
      <c r="M14" s="14"/>
      <c r="N14" s="14"/>
      <c r="O14" s="12">
        <f t="shared" si="0"/>
        <v>108.3</v>
      </c>
      <c r="P14" s="12">
        <f t="shared" si="1"/>
        <v>225.56</v>
      </c>
    </row>
    <row r="15" spans="1:16" ht="18.75" x14ac:dyDescent="0.3">
      <c r="A15" s="19" t="s">
        <v>21</v>
      </c>
      <c r="B15" s="13"/>
      <c r="C15" s="14"/>
      <c r="D15" s="14"/>
      <c r="E15" s="14"/>
      <c r="F15" s="14">
        <v>211.7</v>
      </c>
      <c r="G15" s="14">
        <v>428.63</v>
      </c>
      <c r="H15" s="14"/>
      <c r="I15" s="14"/>
      <c r="J15" s="14">
        <v>226</v>
      </c>
      <c r="K15" s="14"/>
      <c r="L15" s="14"/>
      <c r="M15" s="14"/>
      <c r="N15" s="14"/>
      <c r="O15" s="12">
        <f t="shared" si="0"/>
        <v>437.7</v>
      </c>
      <c r="P15" s="12">
        <f t="shared" si="1"/>
        <v>428.63</v>
      </c>
    </row>
    <row r="16" spans="1:16" ht="18.75" x14ac:dyDescent="0.3">
      <c r="A16" s="19" t="s">
        <v>22</v>
      </c>
      <c r="B16" s="13"/>
      <c r="C16" s="14"/>
      <c r="D16" s="14">
        <v>121</v>
      </c>
      <c r="E16" s="14">
        <f>117.87+231.08</f>
        <v>348.95000000000005</v>
      </c>
      <c r="F16" s="14"/>
      <c r="G16" s="14"/>
      <c r="H16" s="14">
        <v>311.2</v>
      </c>
      <c r="I16" s="14"/>
      <c r="J16" s="14"/>
      <c r="K16" s="14"/>
      <c r="L16" s="14"/>
      <c r="M16" s="14"/>
      <c r="N16" s="14"/>
      <c r="O16" s="12">
        <f t="shared" si="0"/>
        <v>432.2</v>
      </c>
      <c r="P16" s="12">
        <f t="shared" si="1"/>
        <v>348.95000000000005</v>
      </c>
    </row>
    <row r="17" spans="1:16" ht="18.75" x14ac:dyDescent="0.3">
      <c r="A17" s="18" t="s">
        <v>23</v>
      </c>
      <c r="B17" s="13"/>
      <c r="C17" s="14"/>
      <c r="D17" s="14">
        <v>257.89999999999998</v>
      </c>
      <c r="E17" s="14"/>
      <c r="F17" s="14"/>
      <c r="G17" s="14"/>
      <c r="H17" s="14">
        <v>336.9</v>
      </c>
      <c r="I17" s="14"/>
      <c r="J17" s="14"/>
      <c r="K17" s="14"/>
      <c r="L17" s="14"/>
      <c r="M17" s="14"/>
      <c r="N17" s="14"/>
      <c r="O17" s="12">
        <f t="shared" si="0"/>
        <v>594.79999999999995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f>185.2+23.09</f>
        <v>208.29</v>
      </c>
      <c r="G18" s="14"/>
      <c r="H18" s="14"/>
      <c r="I18" s="14"/>
      <c r="J18" s="14">
        <f>592.95+19.75</f>
        <v>612.70000000000005</v>
      </c>
      <c r="K18" s="14"/>
      <c r="L18" s="14"/>
      <c r="M18" s="14"/>
      <c r="N18" s="14"/>
      <c r="O18" s="12">
        <f t="shared" si="0"/>
        <v>820.99</v>
      </c>
      <c r="P18" s="12">
        <f t="shared" si="1"/>
        <v>0</v>
      </c>
    </row>
    <row r="19" spans="1:16" ht="18.75" x14ac:dyDescent="0.3">
      <c r="A19" s="20" t="s">
        <v>226</v>
      </c>
      <c r="B19" s="15"/>
      <c r="C19" s="14"/>
      <c r="D19" s="14"/>
      <c r="E19" s="14"/>
      <c r="F19" s="14"/>
      <c r="G19" s="14"/>
      <c r="H19" s="14">
        <f>208.95+45.21</f>
        <v>254.16</v>
      </c>
      <c r="I19" s="14">
        <f>276.18</f>
        <v>276.18</v>
      </c>
      <c r="J19" s="14"/>
      <c r="K19" s="14"/>
      <c r="L19" s="14"/>
      <c r="M19" s="14"/>
      <c r="N19" s="14"/>
      <c r="O19" s="12">
        <f t="shared" si="0"/>
        <v>254.16</v>
      </c>
      <c r="P19" s="12">
        <f t="shared" si="1"/>
        <v>276.18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>
        <v>145</v>
      </c>
      <c r="E23" s="17">
        <v>145</v>
      </c>
      <c r="F23" s="17">
        <v>40</v>
      </c>
      <c r="G23" s="17">
        <v>40</v>
      </c>
      <c r="H23" s="17">
        <v>20</v>
      </c>
      <c r="I23" s="17">
        <v>20</v>
      </c>
      <c r="J23" s="17">
        <v>120.9</v>
      </c>
      <c r="K23" s="17">
        <v>120.9</v>
      </c>
      <c r="L23" s="17">
        <v>143.9</v>
      </c>
      <c r="M23" s="17">
        <v>143.9</v>
      </c>
      <c r="N23" s="17"/>
      <c r="O23" s="49">
        <f t="shared" si="0"/>
        <v>469.79999999999995</v>
      </c>
      <c r="P23" s="49">
        <f t="shared" si="1"/>
        <v>469.79999999999995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1181.5</v>
      </c>
      <c r="E24" s="21">
        <f t="shared" si="2"/>
        <v>693.95</v>
      </c>
      <c r="F24" s="21">
        <f t="shared" si="2"/>
        <v>568.29</v>
      </c>
      <c r="G24" s="21">
        <f t="shared" si="2"/>
        <v>694.19</v>
      </c>
      <c r="H24" s="21">
        <f t="shared" si="2"/>
        <v>2398.96</v>
      </c>
      <c r="I24" s="21">
        <f t="shared" si="2"/>
        <v>1967.46</v>
      </c>
      <c r="J24" s="21">
        <f t="shared" si="2"/>
        <v>2344.5000000000005</v>
      </c>
      <c r="K24" s="21">
        <f t="shared" si="2"/>
        <v>960.15</v>
      </c>
      <c r="L24" s="21">
        <f t="shared" si="2"/>
        <v>143.9</v>
      </c>
      <c r="M24" s="21">
        <f t="shared" si="2"/>
        <v>143.9</v>
      </c>
      <c r="N24" s="21">
        <f t="shared" si="2"/>
        <v>0</v>
      </c>
      <c r="O24" s="50">
        <f t="shared" si="2"/>
        <v>6637.1500000000005</v>
      </c>
      <c r="P24" s="50">
        <f t="shared" si="2"/>
        <v>4459.6499999999996</v>
      </c>
    </row>
    <row r="25" spans="1:16" ht="15.75" thickBot="1" x14ac:dyDescent="0.3">
      <c r="N25" t="s">
        <v>55</v>
      </c>
      <c r="O25" s="50">
        <f>SUM(B24+D24+F24+H24+J24+L24+N24)</f>
        <v>6637.15</v>
      </c>
      <c r="P25" s="50">
        <f>SUM(C24+E24+G24+I24+K24+M24)</f>
        <v>4459.6499999999996</v>
      </c>
    </row>
    <row r="26" spans="1:16" ht="15.75" thickBot="1" x14ac:dyDescent="0.3">
      <c r="A26" t="s">
        <v>27</v>
      </c>
      <c r="B26" s="22">
        <f>O24</f>
        <v>6637.1500000000005</v>
      </c>
      <c r="D26" s="5" t="s">
        <v>30</v>
      </c>
      <c r="E26" s="47">
        <f>B50*1.5</f>
        <v>8772.521999999999</v>
      </c>
    </row>
    <row r="27" spans="1:16" x14ac:dyDescent="0.25">
      <c r="A27" t="s">
        <v>28</v>
      </c>
      <c r="B27" s="22">
        <f>P24</f>
        <v>4459.6499999999996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6637.1500000000005</v>
      </c>
      <c r="H32" s="37"/>
      <c r="I32" s="26" t="s">
        <v>50</v>
      </c>
      <c r="J32" s="44">
        <f>'Sem 12'!J32+'Sem 13'!F32</f>
        <v>25309.579999999998</v>
      </c>
      <c r="L32" s="37"/>
      <c r="M32" s="27" t="s">
        <v>50</v>
      </c>
      <c r="N32" s="45">
        <f>'Sem 12'!N32+'Sem 13'!F32</f>
        <v>64152.820000000007</v>
      </c>
    </row>
    <row r="33" spans="1:15" x14ac:dyDescent="0.25">
      <c r="A33" t="s">
        <v>33</v>
      </c>
      <c r="B33" s="28">
        <f>IF(C33="","",(C33*1.16)+3.75+10)</f>
        <v>1599.2495999999999</v>
      </c>
      <c r="C33" s="34">
        <v>1366.81</v>
      </c>
      <c r="D33" s="37"/>
      <c r="E33" s="25" t="s">
        <v>51</v>
      </c>
      <c r="F33" s="42">
        <f>B50</f>
        <v>5848.347999999999</v>
      </c>
      <c r="H33" s="37"/>
      <c r="I33" s="26" t="s">
        <v>51</v>
      </c>
      <c r="J33" s="44">
        <f>'Sem 12'!J33+'Sem 13'!F33</f>
        <v>20287.1492</v>
      </c>
      <c r="L33" s="37"/>
      <c r="M33" s="27" t="s">
        <v>51</v>
      </c>
      <c r="N33" s="45">
        <f>'Sem 12'!N33+'Sem 13'!F33</f>
        <v>51204.450399999994</v>
      </c>
    </row>
    <row r="34" spans="1:15" x14ac:dyDescent="0.25">
      <c r="A34" t="s">
        <v>34</v>
      </c>
      <c r="B34" s="29">
        <f>IF(C34="","",(C34*1.16)+3.75+10)</f>
        <v>1479.0503999999999</v>
      </c>
      <c r="C34" s="35">
        <v>1263.19</v>
      </c>
      <c r="D34" s="37"/>
      <c r="E34" s="25"/>
      <c r="F34" s="25"/>
      <c r="H34" s="37"/>
      <c r="I34" s="26"/>
      <c r="J34" s="44"/>
      <c r="L34" s="37"/>
      <c r="M34" s="27"/>
      <c r="N34" s="45">
        <f>'Sem 12'!N34+'Sem 13'!F34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788.8020000000015</v>
      </c>
      <c r="H35" s="37"/>
      <c r="I35" s="26" t="s">
        <v>52</v>
      </c>
      <c r="J35" s="44">
        <f>'Sem 12'!J35+'Sem 13'!F35</f>
        <v>5022.4307999999983</v>
      </c>
      <c r="L35" s="37"/>
      <c r="M35" s="27" t="s">
        <v>52</v>
      </c>
      <c r="N35" s="45">
        <f>'Sem 12'!N35+'Sem 13'!F35</f>
        <v>12948.369600000004</v>
      </c>
    </row>
    <row r="36" spans="1:15" x14ac:dyDescent="0.25">
      <c r="A36" t="s">
        <v>36</v>
      </c>
      <c r="B36" s="31">
        <v>1415.92</v>
      </c>
      <c r="D36" s="37"/>
      <c r="E36" s="25" t="s">
        <v>53</v>
      </c>
      <c r="F36" s="43">
        <f>(F32-F33)/F33</f>
        <v>0.13487603678850876</v>
      </c>
      <c r="H36" s="37"/>
      <c r="I36" s="26" t="s">
        <v>53</v>
      </c>
      <c r="J36" s="52">
        <f>(J32-J33)/J33</f>
        <v>0.24756710518991984</v>
      </c>
      <c r="L36" s="37"/>
      <c r="M36" s="27" t="s">
        <v>53</v>
      </c>
      <c r="N36" s="53">
        <f>(N32-N33)/N33</f>
        <v>0.25287586330581951</v>
      </c>
    </row>
    <row r="37" spans="1:15" x14ac:dyDescent="0.25">
      <c r="A37" t="s">
        <v>37</v>
      </c>
      <c r="B37" s="31">
        <v>1180.4000000000001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E38" s="25" t="s">
        <v>222</v>
      </c>
      <c r="F38" s="130">
        <f>F32-N53</f>
        <v>6419.9900000000007</v>
      </c>
      <c r="H38" s="37"/>
      <c r="L38" s="37"/>
    </row>
    <row r="39" spans="1:15" x14ac:dyDescent="0.25">
      <c r="B39" s="21"/>
      <c r="D39" s="37"/>
      <c r="E39" s="25" t="s">
        <v>223</v>
      </c>
      <c r="F39" s="130">
        <f>F33-B43</f>
        <v>5674.619999999999</v>
      </c>
      <c r="H39" s="37"/>
      <c r="L39" s="37"/>
      <c r="M39" t="s">
        <v>208</v>
      </c>
      <c r="N39" s="65">
        <f>N35</f>
        <v>12948.369600000004</v>
      </c>
    </row>
    <row r="40" spans="1:15" x14ac:dyDescent="0.25">
      <c r="B40" s="21"/>
      <c r="D40" s="37"/>
      <c r="E40" s="25" t="s">
        <v>224</v>
      </c>
      <c r="F40" s="130">
        <f>F38-F39</f>
        <v>745.37000000000171</v>
      </c>
      <c r="H40" s="37"/>
      <c r="L40" s="37"/>
      <c r="M40" t="s">
        <v>209</v>
      </c>
      <c r="N40" s="65">
        <f>FRAIS!G44*_xlfn.ISOWEEKNUM(L3)</f>
        <v>12166.852499999999</v>
      </c>
    </row>
    <row r="41" spans="1:15" x14ac:dyDescent="0.25">
      <c r="B41" s="21"/>
      <c r="D41" s="37"/>
      <c r="E41" s="25" t="s">
        <v>225</v>
      </c>
      <c r="F41" s="131">
        <f>(F38-F39)/F39</f>
        <v>0.13135152662204727</v>
      </c>
      <c r="H41" s="37"/>
      <c r="L41" s="37"/>
    </row>
    <row r="42" spans="1:15" x14ac:dyDescent="0.25">
      <c r="A42" s="2" t="s">
        <v>39</v>
      </c>
      <c r="B42" s="21"/>
      <c r="D42" s="37"/>
      <c r="H42" s="37"/>
      <c r="L42" s="37"/>
      <c r="M42" t="s">
        <v>210</v>
      </c>
      <c r="N42" s="65">
        <f>N39-N40</f>
        <v>781.51710000000458</v>
      </c>
    </row>
    <row r="43" spans="1:15" x14ac:dyDescent="0.25">
      <c r="A43" t="s">
        <v>40</v>
      </c>
      <c r="B43" s="21">
        <f>N54</f>
        <v>173.72800000000004</v>
      </c>
      <c r="D43" s="37"/>
      <c r="H43" s="37"/>
      <c r="L43" s="37"/>
    </row>
    <row r="44" spans="1:15" ht="15.75" thickBot="1" x14ac:dyDescent="0.3">
      <c r="A44" s="6"/>
      <c r="B44" s="21"/>
      <c r="D44" s="37"/>
      <c r="H44" s="37"/>
      <c r="L44" s="37"/>
    </row>
    <row r="45" spans="1:15" x14ac:dyDescent="0.25">
      <c r="A45" s="6"/>
      <c r="B45" s="21"/>
      <c r="D45" s="37"/>
      <c r="H45" s="37"/>
      <c r="L45" s="37"/>
      <c r="M45" s="121"/>
      <c r="N45" s="122" t="s">
        <v>217</v>
      </c>
      <c r="O45" s="123"/>
    </row>
    <row r="46" spans="1:15" x14ac:dyDescent="0.25">
      <c r="A46" s="6"/>
      <c r="B46" s="21"/>
      <c r="D46" s="37"/>
      <c r="H46" s="37"/>
      <c r="L46" s="37"/>
      <c r="M46" s="124" t="s">
        <v>218</v>
      </c>
      <c r="N46" s="129">
        <v>23.9</v>
      </c>
      <c r="O46" s="125"/>
    </row>
    <row r="47" spans="1:15" x14ac:dyDescent="0.25">
      <c r="A47" s="6"/>
      <c r="B47" s="21"/>
      <c r="D47" s="37"/>
      <c r="H47" s="37"/>
      <c r="L47" s="37"/>
      <c r="M47" s="124"/>
      <c r="N47" s="129">
        <v>45.21</v>
      </c>
      <c r="O47" s="125"/>
    </row>
    <row r="48" spans="1:15" ht="15.75" x14ac:dyDescent="0.25">
      <c r="B48" s="21"/>
      <c r="D48" s="37"/>
      <c r="E48" t="s">
        <v>56</v>
      </c>
      <c r="G48" s="40">
        <v>1721.95</v>
      </c>
      <c r="H48" s="37"/>
      <c r="I48" s="38" t="s">
        <v>61</v>
      </c>
      <c r="J48" s="38"/>
      <c r="K48" s="39">
        <f>F32</f>
        <v>6637.1500000000005</v>
      </c>
      <c r="L48" s="37"/>
      <c r="M48" s="124"/>
      <c r="N48" s="129">
        <v>78</v>
      </c>
      <c r="O48" s="125"/>
    </row>
    <row r="49" spans="1:15" ht="15.75" thickBot="1" x14ac:dyDescent="0.3">
      <c r="B49" s="21"/>
      <c r="D49" s="37"/>
      <c r="G49" s="40">
        <v>1212.56</v>
      </c>
      <c r="H49" s="37"/>
      <c r="L49" s="37"/>
      <c r="M49" s="124"/>
      <c r="N49" s="129">
        <f>25.15*2</f>
        <v>50.3</v>
      </c>
      <c r="O49" s="125"/>
    </row>
    <row r="50" spans="1:15" ht="15.75" thickBot="1" x14ac:dyDescent="0.3">
      <c r="A50" t="s">
        <v>42</v>
      </c>
      <c r="B50" s="33">
        <f>SUM(B33:B48)</f>
        <v>5848.347999999999</v>
      </c>
      <c r="D50" s="37"/>
      <c r="G50" s="40"/>
      <c r="H50" s="37"/>
      <c r="I50" t="s">
        <v>62</v>
      </c>
      <c r="J50" s="21">
        <v>5959.06</v>
      </c>
      <c r="K50" s="41">
        <f>J50/K48</f>
        <v>0.89783416074670608</v>
      </c>
      <c r="L50" s="37"/>
      <c r="M50" s="124"/>
      <c r="N50" s="129">
        <v>19.75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2934.51</v>
      </c>
      <c r="H51" s="37"/>
      <c r="I51" t="s">
        <v>63</v>
      </c>
      <c r="J51" s="22">
        <f>K48-J50</f>
        <v>678.09000000000015</v>
      </c>
      <c r="K51" s="41">
        <f>J51/K48</f>
        <v>0.10216583925329398</v>
      </c>
      <c r="L51" s="37"/>
      <c r="M51" s="124"/>
      <c r="N51" s="129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129"/>
      <c r="O52" s="125"/>
    </row>
    <row r="53" spans="1:15" x14ac:dyDescent="0.25">
      <c r="A53" s="6" t="s">
        <v>188</v>
      </c>
      <c r="B53" s="21">
        <v>9.35</v>
      </c>
      <c r="D53" s="37"/>
      <c r="E53" t="s">
        <v>58</v>
      </c>
      <c r="G53" s="40">
        <v>1764.89</v>
      </c>
      <c r="H53" s="37"/>
      <c r="L53" s="37"/>
      <c r="M53" s="124" t="s">
        <v>219</v>
      </c>
      <c r="N53" s="129">
        <f>SUM(N46:N52)</f>
        <v>217.16000000000003</v>
      </c>
      <c r="O53" s="125"/>
    </row>
    <row r="54" spans="1:15" x14ac:dyDescent="0.25">
      <c r="A54" s="79" t="s">
        <v>189</v>
      </c>
      <c r="B54" s="21">
        <f>B37*16%</f>
        <v>188.864</v>
      </c>
      <c r="D54" s="37"/>
      <c r="E54" t="s">
        <v>59</v>
      </c>
      <c r="G54" s="40">
        <v>5.45</v>
      </c>
      <c r="H54" s="37"/>
      <c r="L54" s="37"/>
      <c r="M54" s="124" t="s">
        <v>220</v>
      </c>
      <c r="N54" s="129">
        <f>N53*0.8</f>
        <v>173.72800000000004</v>
      </c>
      <c r="O54" s="125"/>
    </row>
    <row r="55" spans="1:15" ht="15.75" thickBot="1" x14ac:dyDescent="0.3">
      <c r="D55" s="37"/>
      <c r="E55" t="s">
        <v>60</v>
      </c>
      <c r="G55" s="40">
        <v>1344.9</v>
      </c>
      <c r="H55" s="37"/>
      <c r="L55" s="37"/>
      <c r="M55" s="124" t="s">
        <v>221</v>
      </c>
      <c r="N55" s="129">
        <f>N53-N54</f>
        <v>43.431999999999988</v>
      </c>
      <c r="O55" s="125"/>
    </row>
    <row r="56" spans="1:15" ht="15.75" thickBot="1" x14ac:dyDescent="0.3">
      <c r="A56" t="s">
        <v>44</v>
      </c>
      <c r="B56" s="33">
        <v>7218.98</v>
      </c>
      <c r="D56" s="37"/>
      <c r="H56" s="37"/>
      <c r="L56" s="37"/>
      <c r="M56" s="124"/>
      <c r="N56" s="85"/>
      <c r="O56" s="125"/>
    </row>
    <row r="57" spans="1:15" ht="15.75" thickBot="1" x14ac:dyDescent="0.3">
      <c r="A57" t="s">
        <v>45</v>
      </c>
      <c r="B57" s="21">
        <f>'Sem 12'!B56</f>
        <v>6084.98</v>
      </c>
      <c r="M57" s="124"/>
      <c r="N57" s="85"/>
      <c r="O57" s="125"/>
    </row>
    <row r="58" spans="1:15" ht="16.5" thickBot="1" x14ac:dyDescent="0.3">
      <c r="B58" s="21"/>
      <c r="E58" t="s">
        <v>65</v>
      </c>
      <c r="G58" s="48">
        <f>SUM(G48:G50)+SUM(G53:G55)</f>
        <v>6049.75</v>
      </c>
      <c r="M58" s="126"/>
      <c r="N58" s="127"/>
      <c r="O58" s="128"/>
    </row>
    <row r="59" spans="1:15" x14ac:dyDescent="0.25">
      <c r="A59" t="s">
        <v>46</v>
      </c>
      <c r="B59" s="21">
        <f>B56-B57</f>
        <v>1134</v>
      </c>
      <c r="C59" t="s">
        <v>207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7" tint="0.59999389629810485"/>
    <pageSetUpPr fitToPage="1"/>
  </sheetPr>
  <dimension ref="A1:P59"/>
  <sheetViews>
    <sheetView topLeftCell="A22" workbookViewId="0">
      <selection activeCell="N54" sqref="N54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43192</v>
      </c>
      <c r="C3" s="10"/>
      <c r="D3" s="9">
        <v>43193</v>
      </c>
      <c r="E3" s="10"/>
      <c r="F3" s="9">
        <v>43194</v>
      </c>
      <c r="G3" s="10"/>
      <c r="H3" s="9">
        <v>43195</v>
      </c>
      <c r="I3" s="10"/>
      <c r="J3" s="9">
        <v>43196</v>
      </c>
      <c r="K3" s="10"/>
      <c r="L3" s="9">
        <v>43197</v>
      </c>
      <c r="M3" s="10"/>
      <c r="N3" s="9">
        <v>43198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240.3</v>
      </c>
      <c r="E4" s="12"/>
      <c r="F4" s="12"/>
      <c r="G4" s="12"/>
      <c r="H4" s="12">
        <f>503.4-240.3+14</f>
        <v>277.09999999999997</v>
      </c>
      <c r="I4" s="12">
        <v>550.54</v>
      </c>
      <c r="J4" s="12"/>
      <c r="K4" s="12"/>
      <c r="L4" s="12"/>
      <c r="M4" s="12"/>
      <c r="N4" s="12"/>
      <c r="O4" s="12">
        <f>B4+D4+F4+H4+J4+L4+N4</f>
        <v>517.4</v>
      </c>
      <c r="P4" s="12">
        <f>C4+E4+G4+I4+K4+M4</f>
        <v>550.54</v>
      </c>
    </row>
    <row r="5" spans="1:16" ht="18.75" x14ac:dyDescent="0.3">
      <c r="A5" s="18" t="s">
        <v>11</v>
      </c>
      <c r="B5" s="13"/>
      <c r="C5" s="14"/>
      <c r="D5" s="14">
        <v>89</v>
      </c>
      <c r="E5" s="14"/>
      <c r="F5" s="14"/>
      <c r="G5" s="14"/>
      <c r="H5" s="14">
        <v>105.3</v>
      </c>
      <c r="I5" s="14"/>
      <c r="J5" s="14"/>
      <c r="K5" s="14"/>
      <c r="L5" s="14"/>
      <c r="M5" s="14"/>
      <c r="N5" s="14"/>
      <c r="O5" s="12">
        <f t="shared" ref="O5:O23" si="0">B5+D5+F5+H5+J5+L5+N5</f>
        <v>194.3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165.25</v>
      </c>
      <c r="E6" s="14"/>
      <c r="F6" s="14"/>
      <c r="G6" s="14"/>
      <c r="H6" s="14">
        <v>130.5</v>
      </c>
      <c r="I6" s="14"/>
      <c r="J6" s="14"/>
      <c r="K6" s="14"/>
      <c r="L6" s="14"/>
      <c r="M6" s="14"/>
      <c r="N6" s="14"/>
      <c r="O6" s="12">
        <f t="shared" si="0"/>
        <v>295.75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209.2</v>
      </c>
      <c r="G7" s="14"/>
      <c r="H7" s="14"/>
      <c r="I7" s="14"/>
      <c r="J7" s="14">
        <f>388.5-209.2</f>
        <v>179.3</v>
      </c>
      <c r="K7" s="14"/>
      <c r="L7" s="14"/>
      <c r="M7" s="14"/>
      <c r="N7" s="14"/>
      <c r="O7" s="12">
        <f t="shared" si="0"/>
        <v>388.5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>
        <v>460.4</v>
      </c>
      <c r="I12" s="14"/>
      <c r="J12" s="14">
        <v>259.8</v>
      </c>
      <c r="K12" s="14"/>
      <c r="L12" s="14"/>
      <c r="M12" s="14"/>
      <c r="N12" s="14"/>
      <c r="O12" s="12">
        <f t="shared" si="0"/>
        <v>720.2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272.7</v>
      </c>
      <c r="K13" s="14"/>
      <c r="L13" s="14"/>
      <c r="M13" s="14"/>
      <c r="N13" s="14"/>
      <c r="O13" s="12">
        <f t="shared" si="0"/>
        <v>272.7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38.5</v>
      </c>
      <c r="G14" s="14"/>
      <c r="H14" s="14"/>
      <c r="I14" s="14"/>
      <c r="J14" s="14">
        <f>96.3-38.5</f>
        <v>57.8</v>
      </c>
      <c r="K14" s="14">
        <f>114.8+102.08</f>
        <v>216.88</v>
      </c>
      <c r="L14" s="14"/>
      <c r="M14" s="14"/>
      <c r="N14" s="14"/>
      <c r="O14" s="12">
        <f t="shared" si="0"/>
        <v>96.3</v>
      </c>
      <c r="P14" s="12">
        <f t="shared" si="1"/>
        <v>216.88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261.45</v>
      </c>
      <c r="I15" s="14">
        <v>463.96</v>
      </c>
      <c r="J15" s="14"/>
      <c r="K15" s="14"/>
      <c r="L15" s="14"/>
      <c r="M15" s="14"/>
      <c r="N15" s="14"/>
      <c r="O15" s="12">
        <f t="shared" si="0"/>
        <v>261.45</v>
      </c>
      <c r="P15" s="12">
        <f t="shared" si="1"/>
        <v>463.96</v>
      </c>
    </row>
    <row r="16" spans="1:16" ht="18.75" x14ac:dyDescent="0.3">
      <c r="A16" s="19" t="s">
        <v>22</v>
      </c>
      <c r="B16" s="13"/>
      <c r="C16" s="14"/>
      <c r="D16" s="14">
        <v>50</v>
      </c>
      <c r="E16" s="14">
        <v>458.13</v>
      </c>
      <c r="F16" s="14">
        <v>91.2</v>
      </c>
      <c r="G16" s="14"/>
      <c r="H16" s="14">
        <v>209.5</v>
      </c>
      <c r="I16" s="14"/>
      <c r="J16" s="14"/>
      <c r="K16" s="14"/>
      <c r="L16" s="14"/>
      <c r="M16" s="14"/>
      <c r="N16" s="14"/>
      <c r="O16" s="12">
        <f t="shared" si="0"/>
        <v>350.7</v>
      </c>
      <c r="P16" s="12">
        <f t="shared" si="1"/>
        <v>458.13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>
        <v>170.2</v>
      </c>
      <c r="I17" s="14"/>
      <c r="J17" s="14"/>
      <c r="K17" s="14"/>
      <c r="L17" s="14"/>
      <c r="M17" s="14"/>
      <c r="N17" s="14"/>
      <c r="O17" s="12">
        <f t="shared" si="0"/>
        <v>170.2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66.5</v>
      </c>
      <c r="G18" s="14"/>
      <c r="H18" s="14"/>
      <c r="I18" s="14"/>
      <c r="J18" s="14">
        <f>259.4-66.5+39</f>
        <v>231.89999999999998</v>
      </c>
      <c r="K18" s="14">
        <f>322.15+473.4</f>
        <v>795.55</v>
      </c>
      <c r="L18" s="14"/>
      <c r="M18" s="14"/>
      <c r="N18" s="14"/>
      <c r="O18" s="12">
        <f t="shared" si="0"/>
        <v>298.39999999999998</v>
      </c>
      <c r="P18" s="12">
        <f t="shared" si="1"/>
        <v>795.55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92.5</v>
      </c>
      <c r="I23" s="17">
        <v>92.5</v>
      </c>
      <c r="J23" s="17">
        <v>65</v>
      </c>
      <c r="K23" s="17">
        <v>65</v>
      </c>
      <c r="L23" s="17"/>
      <c r="M23" s="17"/>
      <c r="N23" s="17"/>
      <c r="O23" s="49">
        <f t="shared" si="0"/>
        <v>157.5</v>
      </c>
      <c r="P23" s="49">
        <f t="shared" si="1"/>
        <v>157.5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544.54999999999995</v>
      </c>
      <c r="E24" s="21">
        <f t="shared" si="2"/>
        <v>458.13</v>
      </c>
      <c r="F24" s="21">
        <f t="shared" si="2"/>
        <v>405.4</v>
      </c>
      <c r="G24" s="21">
        <f t="shared" si="2"/>
        <v>0</v>
      </c>
      <c r="H24" s="21">
        <f t="shared" si="2"/>
        <v>1706.95</v>
      </c>
      <c r="I24" s="21">
        <f t="shared" si="2"/>
        <v>1107</v>
      </c>
      <c r="J24" s="21">
        <f t="shared" si="2"/>
        <v>1066.5</v>
      </c>
      <c r="K24" s="21">
        <f t="shared" si="2"/>
        <v>1077.4299999999998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3723.3999999999996</v>
      </c>
      <c r="P24" s="50">
        <f t="shared" si="2"/>
        <v>2642.5599999999995</v>
      </c>
    </row>
    <row r="25" spans="1:16" ht="15.75" thickBot="1" x14ac:dyDescent="0.3">
      <c r="N25" t="s">
        <v>55</v>
      </c>
      <c r="O25" s="50">
        <f>SUM(B24+D24+F24+H24+J24+L24+N24)</f>
        <v>3723.4</v>
      </c>
      <c r="P25" s="50">
        <f>SUM(C24+E24+G24+I24+K24+M24)</f>
        <v>2642.56</v>
      </c>
    </row>
    <row r="26" spans="1:16" ht="15.75" thickBot="1" x14ac:dyDescent="0.3">
      <c r="A26" t="s">
        <v>27</v>
      </c>
      <c r="B26" s="22">
        <f>O24</f>
        <v>3723.3999999999996</v>
      </c>
      <c r="D26" s="5" t="s">
        <v>30</v>
      </c>
      <c r="E26" s="47">
        <f>B50*1.5</f>
        <v>3317.3148000000001</v>
      </c>
    </row>
    <row r="27" spans="1:16" x14ac:dyDescent="0.25">
      <c r="A27" t="s">
        <v>28</v>
      </c>
      <c r="B27" s="22">
        <f>P24</f>
        <v>2642.5599999999995</v>
      </c>
    </row>
    <row r="28" spans="1:16" x14ac:dyDescent="0.25">
      <c r="A28" s="3" t="s">
        <v>29</v>
      </c>
      <c r="B28" s="21">
        <v>3128.09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3723.3999999999996</v>
      </c>
      <c r="H32" s="37"/>
      <c r="I32" s="26" t="s">
        <v>50</v>
      </c>
      <c r="J32" s="44">
        <f>F32</f>
        <v>3723.3999999999996</v>
      </c>
      <c r="L32" s="37"/>
      <c r="M32" s="27" t="s">
        <v>50</v>
      </c>
      <c r="N32" s="45">
        <f>F32</f>
        <v>3723.3999999999996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2211.5432000000001</v>
      </c>
      <c r="H33" s="37"/>
      <c r="I33" s="26" t="s">
        <v>51</v>
      </c>
      <c r="J33" s="44">
        <f>F33</f>
        <v>2211.5432000000001</v>
      </c>
      <c r="L33" s="37"/>
      <c r="M33" s="27" t="s">
        <v>51</v>
      </c>
      <c r="N33" s="45">
        <f>F33</f>
        <v>2211.5432000000001</v>
      </c>
    </row>
    <row r="34" spans="1:15" x14ac:dyDescent="0.25">
      <c r="A34" t="s">
        <v>34</v>
      </c>
      <c r="B34" s="29">
        <f>IF(C34="","",(C34*1.16)+3.75+10)</f>
        <v>1835.8431999999998</v>
      </c>
      <c r="C34" s="35">
        <v>1570.77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1511.8567999999996</v>
      </c>
      <c r="H35" s="37"/>
      <c r="I35" s="26" t="s">
        <v>52</v>
      </c>
      <c r="J35" s="44">
        <f>F35</f>
        <v>1511.8567999999996</v>
      </c>
      <c r="L35" s="37"/>
      <c r="M35" s="27" t="s">
        <v>52</v>
      </c>
      <c r="N35" s="45">
        <f>J35</f>
        <v>1511.8567999999996</v>
      </c>
    </row>
    <row r="36" spans="1:15" x14ac:dyDescent="0.25">
      <c r="A36" t="s">
        <v>36</v>
      </c>
      <c r="B36" s="31"/>
      <c r="D36" s="37"/>
      <c r="E36" s="25" t="s">
        <v>53</v>
      </c>
      <c r="F36" s="43">
        <f>(F32-F33)/F33</f>
        <v>0.68362074048564803</v>
      </c>
      <c r="H36" s="37"/>
      <c r="I36" s="26" t="s">
        <v>53</v>
      </c>
      <c r="J36" s="52">
        <f>(J32-J33)/J33</f>
        <v>0.68362074048564803</v>
      </c>
      <c r="L36" s="37"/>
      <c r="M36" s="27" t="s">
        <v>53</v>
      </c>
      <c r="N36" s="53">
        <f>(N32-N33)/N33</f>
        <v>0.68362074048564803</v>
      </c>
    </row>
    <row r="37" spans="1:15" x14ac:dyDescent="0.25">
      <c r="A37" t="s">
        <v>37</v>
      </c>
      <c r="B37" s="31">
        <v>333.3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x14ac:dyDescent="0.25">
      <c r="B39" s="21"/>
      <c r="D39" s="37"/>
      <c r="E39" s="25" t="s">
        <v>222</v>
      </c>
      <c r="F39" s="130">
        <f>F32-N47</f>
        <v>3670.3999999999996</v>
      </c>
      <c r="H39" s="37"/>
      <c r="L39" s="37"/>
      <c r="M39" s="121"/>
      <c r="N39" s="122" t="s">
        <v>217</v>
      </c>
      <c r="O39" s="123"/>
    </row>
    <row r="40" spans="1:15" x14ac:dyDescent="0.25">
      <c r="B40" s="21"/>
      <c r="D40" s="37"/>
      <c r="E40" s="25" t="s">
        <v>223</v>
      </c>
      <c r="F40" s="130">
        <f>F33-B43</f>
        <v>2169.1432</v>
      </c>
      <c r="H40" s="37"/>
      <c r="L40" s="37"/>
      <c r="M40" s="124" t="s">
        <v>218</v>
      </c>
      <c r="N40" s="129">
        <v>14</v>
      </c>
      <c r="O40" s="125"/>
    </row>
    <row r="41" spans="1:15" x14ac:dyDescent="0.25">
      <c r="B41" s="21"/>
      <c r="D41" s="37"/>
      <c r="E41" s="25" t="s">
        <v>224</v>
      </c>
      <c r="F41" s="130">
        <f>F39-F40</f>
        <v>1501.2567999999997</v>
      </c>
      <c r="H41" s="37"/>
      <c r="L41" s="37"/>
      <c r="M41" s="124"/>
      <c r="N41" s="129">
        <v>39</v>
      </c>
      <c r="O41" s="125"/>
    </row>
    <row r="42" spans="1:15" x14ac:dyDescent="0.25">
      <c r="A42" s="2" t="s">
        <v>39</v>
      </c>
      <c r="B42" s="21"/>
      <c r="D42" s="37"/>
      <c r="E42" s="25" t="s">
        <v>225</v>
      </c>
      <c r="F42" s="131">
        <f>(F39-F40)/F40</f>
        <v>0.69209667669704777</v>
      </c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N48</f>
        <v>42.400000000000006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 t="s">
        <v>219</v>
      </c>
      <c r="N47" s="129">
        <f>SUM(N40:N46)</f>
        <v>53</v>
      </c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3723.3999999999996</v>
      </c>
      <c r="L48" s="37"/>
      <c r="M48" s="124" t="s">
        <v>220</v>
      </c>
      <c r="N48" s="129">
        <f>N47*0.8</f>
        <v>42.400000000000006</v>
      </c>
      <c r="O48" s="125"/>
    </row>
    <row r="49" spans="1:15" ht="15.75" thickBot="1" x14ac:dyDescent="0.3">
      <c r="B49" s="21"/>
      <c r="D49" s="37"/>
      <c r="G49" s="40">
        <v>2001.51</v>
      </c>
      <c r="H49" s="37"/>
      <c r="L49" s="37"/>
      <c r="M49" s="124" t="s">
        <v>221</v>
      </c>
      <c r="N49" s="129">
        <f>N47-N48</f>
        <v>10.599999999999994</v>
      </c>
      <c r="O49" s="125"/>
    </row>
    <row r="50" spans="1:15" ht="15.75" thickBot="1" x14ac:dyDescent="0.3">
      <c r="A50" t="s">
        <v>42</v>
      </c>
      <c r="B50" s="33">
        <f>SUM(B33:B48)</f>
        <v>2211.5432000000001</v>
      </c>
      <c r="D50" s="37"/>
      <c r="G50" s="40"/>
      <c r="H50" s="37"/>
      <c r="I50" t="s">
        <v>62</v>
      </c>
      <c r="K50" s="41">
        <f>J50/K48</f>
        <v>0</v>
      </c>
      <c r="L50" s="37"/>
      <c r="M50" s="124"/>
      <c r="N50" s="85"/>
      <c r="O50" s="125"/>
    </row>
    <row r="51" spans="1:15" ht="15.75" x14ac:dyDescent="0.25">
      <c r="B51" s="21"/>
      <c r="D51" s="37"/>
      <c r="F51" t="s">
        <v>57</v>
      </c>
      <c r="G51" s="39">
        <f>SUM(G49:G50)</f>
        <v>2001.51</v>
      </c>
      <c r="H51" s="37"/>
      <c r="I51" t="s">
        <v>63</v>
      </c>
      <c r="J51" s="22">
        <f>K48-J50</f>
        <v>3723.3999999999996</v>
      </c>
      <c r="K51" s="41">
        <f>J51/K48</f>
        <v>1</v>
      </c>
      <c r="L51" s="37"/>
      <c r="M51" s="124"/>
      <c r="N51" s="85"/>
      <c r="O51" s="125"/>
    </row>
    <row r="52" spans="1:15" ht="15.75" thickBot="1" x14ac:dyDescent="0.3">
      <c r="A52" t="s">
        <v>43</v>
      </c>
      <c r="B52" s="21"/>
      <c r="D52" s="37"/>
      <c r="H52" s="37"/>
      <c r="L52" s="37"/>
      <c r="M52" s="126"/>
      <c r="N52" s="127"/>
      <c r="O52" s="128"/>
    </row>
    <row r="53" spans="1:15" x14ac:dyDescent="0.25">
      <c r="A53" s="6" t="s">
        <v>188</v>
      </c>
      <c r="B53" s="21">
        <v>9.35</v>
      </c>
      <c r="D53" s="37"/>
      <c r="E53" t="s">
        <v>58</v>
      </c>
      <c r="G53" s="40"/>
      <c r="H53" s="37"/>
      <c r="L53" s="37"/>
    </row>
    <row r="54" spans="1:15" x14ac:dyDescent="0.25">
      <c r="A54" s="79" t="s">
        <v>189</v>
      </c>
      <c r="B54" s="21">
        <f>B37*16%</f>
        <v>53.328000000000003</v>
      </c>
      <c r="D54" s="37"/>
      <c r="E54" t="s">
        <v>59</v>
      </c>
      <c r="G54" s="40"/>
      <c r="H54" s="37"/>
      <c r="L54" s="37"/>
      <c r="M54" t="s">
        <v>236</v>
      </c>
      <c r="N54" s="65">
        <f>N35+'Sem 13'!$N$39</f>
        <v>14460.226400000003</v>
      </c>
    </row>
    <row r="55" spans="1:15" ht="15.75" thickBot="1" x14ac:dyDescent="0.3">
      <c r="D55" s="37"/>
      <c r="E55" t="s">
        <v>60</v>
      </c>
      <c r="G55" s="40">
        <v>390.89</v>
      </c>
      <c r="H55" s="37"/>
      <c r="L55" s="37"/>
      <c r="M55" t="s">
        <v>209</v>
      </c>
      <c r="N55" s="65">
        <f>FRAIS!$G$44*_xlfn.ISOWEEKNUM($L$3)</f>
        <v>13102.764230769229</v>
      </c>
    </row>
    <row r="56" spans="1:15" ht="15.75" thickBot="1" x14ac:dyDescent="0.3">
      <c r="A56" t="s">
        <v>44</v>
      </c>
      <c r="B56" s="33">
        <v>4720.18</v>
      </c>
      <c r="D56" s="37"/>
      <c r="H56" s="37"/>
      <c r="L56" s="37"/>
    </row>
    <row r="57" spans="1:15" ht="15.75" thickBot="1" x14ac:dyDescent="0.3">
      <c r="A57" t="s">
        <v>45</v>
      </c>
      <c r="B57" s="21">
        <f>'Sem 13'!B56</f>
        <v>7218.98</v>
      </c>
      <c r="M57" t="s">
        <v>210</v>
      </c>
      <c r="N57" s="65">
        <f>N54-N55</f>
        <v>1357.4621692307737</v>
      </c>
    </row>
    <row r="58" spans="1:15" ht="16.5" thickBot="1" x14ac:dyDescent="0.3">
      <c r="B58" s="21"/>
      <c r="E58" t="s">
        <v>65</v>
      </c>
      <c r="G58" s="48">
        <f>SUM(G48:G50)+SUM(G53:G55)</f>
        <v>2392.4</v>
      </c>
    </row>
    <row r="59" spans="1:15" x14ac:dyDescent="0.25">
      <c r="A59" t="s">
        <v>46</v>
      </c>
      <c r="B59" s="21">
        <f>B56-B57</f>
        <v>-2498.7999999999993</v>
      </c>
      <c r="C59" t="s">
        <v>231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7" tint="0.59999389629810485"/>
    <pageSetUpPr fitToPage="1"/>
  </sheetPr>
  <dimension ref="A1:P59"/>
  <sheetViews>
    <sheetView topLeftCell="A31" workbookViewId="0">
      <selection activeCell="M55" sqref="M55:N58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43199</v>
      </c>
      <c r="C3" s="10"/>
      <c r="D3" s="9">
        <v>43200</v>
      </c>
      <c r="E3" s="10"/>
      <c r="F3" s="9">
        <v>43201</v>
      </c>
      <c r="G3" s="10"/>
      <c r="H3" s="9">
        <v>43202</v>
      </c>
      <c r="I3" s="10"/>
      <c r="J3" s="9">
        <v>43203</v>
      </c>
      <c r="K3" s="10"/>
      <c r="L3" s="9">
        <v>43204</v>
      </c>
      <c r="M3" s="10"/>
      <c r="N3" s="9">
        <v>43205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20.8</v>
      </c>
      <c r="E4" s="12"/>
      <c r="F4" s="12"/>
      <c r="G4" s="12"/>
      <c r="H4" s="12">
        <f>427.9-20.8</f>
        <v>407.09999999999997</v>
      </c>
      <c r="I4" s="12">
        <v>453.57</v>
      </c>
      <c r="J4" s="12"/>
      <c r="K4" s="12"/>
      <c r="L4" s="12"/>
      <c r="M4" s="12"/>
      <c r="N4" s="12"/>
      <c r="O4" s="12">
        <f>B4+D4+F4+H4+J4+L4+N4</f>
        <v>427.9</v>
      </c>
      <c r="P4" s="12">
        <f>C4+E4+G4+I4+K4+M4</f>
        <v>453.57</v>
      </c>
    </row>
    <row r="5" spans="1:16" ht="18.75" x14ac:dyDescent="0.3">
      <c r="A5" s="18" t="s">
        <v>11</v>
      </c>
      <c r="B5" s="13"/>
      <c r="C5" s="14"/>
      <c r="D5" s="14">
        <v>92.75</v>
      </c>
      <c r="E5" s="14"/>
      <c r="F5" s="14"/>
      <c r="G5" s="14"/>
      <c r="H5" s="14">
        <v>63.25</v>
      </c>
      <c r="I5" s="14"/>
      <c r="J5" s="14"/>
      <c r="K5" s="14"/>
      <c r="L5" s="14"/>
      <c r="M5" s="14"/>
      <c r="N5" s="14"/>
      <c r="O5" s="12">
        <f t="shared" ref="O5:O23" si="0">B5+D5+F5+H5+J5+L5+N5</f>
        <v>156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389</v>
      </c>
      <c r="I6" s="14"/>
      <c r="J6" s="14"/>
      <c r="K6" s="14"/>
      <c r="L6" s="14"/>
      <c r="M6" s="14"/>
      <c r="N6" s="14"/>
      <c r="O6" s="12">
        <f t="shared" si="0"/>
        <v>389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423.05</v>
      </c>
      <c r="K7" s="14">
        <v>448.43</v>
      </c>
      <c r="L7" s="14"/>
      <c r="M7" s="14"/>
      <c r="N7" s="14"/>
      <c r="O7" s="12">
        <f t="shared" si="0"/>
        <v>423.05</v>
      </c>
      <c r="P7" s="12">
        <f t="shared" si="1"/>
        <v>448.43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>
        <v>93.5</v>
      </c>
      <c r="K8" s="14">
        <v>93.5</v>
      </c>
      <c r="L8" s="14"/>
      <c r="M8" s="14"/>
      <c r="N8" s="14"/>
      <c r="O8" s="12">
        <f t="shared" si="0"/>
        <v>93.5</v>
      </c>
      <c r="P8" s="12">
        <f t="shared" si="1"/>
        <v>93.5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226.56</v>
      </c>
      <c r="I9" s="14">
        <v>240.15</v>
      </c>
      <c r="J9" s="14"/>
      <c r="K9" s="14"/>
      <c r="L9" s="14"/>
      <c r="M9" s="14"/>
      <c r="N9" s="14"/>
      <c r="O9" s="12">
        <f t="shared" si="0"/>
        <v>226.56</v>
      </c>
      <c r="P9" s="12">
        <f t="shared" si="1"/>
        <v>240.15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361.15</v>
      </c>
      <c r="K13" s="14"/>
      <c r="L13" s="14"/>
      <c r="M13" s="14"/>
      <c r="N13" s="14"/>
      <c r="O13" s="12">
        <f t="shared" si="0"/>
        <v>361.15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69.5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69.5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v>116.3</v>
      </c>
      <c r="E16" s="14">
        <v>371.74</v>
      </c>
      <c r="F16" s="14"/>
      <c r="G16" s="14"/>
      <c r="H16" s="14">
        <v>147</v>
      </c>
      <c r="I16" s="14"/>
      <c r="J16" s="14"/>
      <c r="K16" s="14"/>
      <c r="L16" s="14"/>
      <c r="M16" s="14"/>
      <c r="N16" s="14"/>
      <c r="O16" s="12">
        <f t="shared" si="0"/>
        <v>263.3</v>
      </c>
      <c r="P16" s="12">
        <f t="shared" si="1"/>
        <v>371.74</v>
      </c>
    </row>
    <row r="17" spans="1:16" ht="18.75" x14ac:dyDescent="0.3">
      <c r="A17" s="18" t="s">
        <v>23</v>
      </c>
      <c r="B17" s="13"/>
      <c r="C17" s="14"/>
      <c r="D17" s="14">
        <v>87.2</v>
      </c>
      <c r="E17" s="14"/>
      <c r="F17" s="14"/>
      <c r="G17" s="14"/>
      <c r="H17" s="14">
        <v>254</v>
      </c>
      <c r="I17" s="14"/>
      <c r="J17" s="14"/>
      <c r="K17" s="14"/>
      <c r="L17" s="14"/>
      <c r="M17" s="14"/>
      <c r="N17" s="14"/>
      <c r="O17" s="12">
        <f t="shared" si="0"/>
        <v>341.2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139.19999999999999</v>
      </c>
      <c r="G18" s="14"/>
      <c r="H18" s="14"/>
      <c r="I18" s="14"/>
      <c r="J18" s="14">
        <f>274.8-139.2</f>
        <v>135.60000000000002</v>
      </c>
      <c r="K18" s="14"/>
      <c r="L18" s="14"/>
      <c r="M18" s="14"/>
      <c r="N18" s="14"/>
      <c r="O18" s="12">
        <f t="shared" si="0"/>
        <v>274.8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65</v>
      </c>
      <c r="G23" s="17">
        <v>65</v>
      </c>
      <c r="H23" s="17">
        <v>33</v>
      </c>
      <c r="I23" s="17">
        <v>33</v>
      </c>
      <c r="J23" s="17"/>
      <c r="K23" s="17"/>
      <c r="L23" s="17"/>
      <c r="M23" s="17"/>
      <c r="N23" s="17"/>
      <c r="O23" s="49">
        <f t="shared" si="0"/>
        <v>98</v>
      </c>
      <c r="P23" s="49">
        <f t="shared" si="1"/>
        <v>98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317.05</v>
      </c>
      <c r="E24" s="21">
        <f t="shared" si="2"/>
        <v>371.74</v>
      </c>
      <c r="F24" s="21">
        <f t="shared" si="2"/>
        <v>273.7</v>
      </c>
      <c r="G24" s="21">
        <f t="shared" si="2"/>
        <v>65</v>
      </c>
      <c r="H24" s="21">
        <f t="shared" si="2"/>
        <v>1519.9099999999999</v>
      </c>
      <c r="I24" s="21">
        <f t="shared" si="2"/>
        <v>726.72</v>
      </c>
      <c r="J24" s="21">
        <f t="shared" si="2"/>
        <v>1013.3</v>
      </c>
      <c r="K24" s="21">
        <f t="shared" si="2"/>
        <v>541.93000000000006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3123.96</v>
      </c>
      <c r="P24" s="50">
        <f t="shared" si="2"/>
        <v>1705.39</v>
      </c>
    </row>
    <row r="25" spans="1:16" ht="15.75" thickBot="1" x14ac:dyDescent="0.3">
      <c r="N25" t="s">
        <v>55</v>
      </c>
      <c r="O25" s="50">
        <f>SUM(B24+D24+F24+H24+J24+L24+N24)</f>
        <v>3123.96</v>
      </c>
      <c r="P25" s="50">
        <f>SUM(C24+E24+G24+I24+K24+M24)</f>
        <v>1705.39</v>
      </c>
    </row>
    <row r="26" spans="1:16" ht="15.75" thickBot="1" x14ac:dyDescent="0.3">
      <c r="A26" t="s">
        <v>27</v>
      </c>
      <c r="B26" s="22">
        <f>O24</f>
        <v>3123.96</v>
      </c>
      <c r="D26" s="5" t="s">
        <v>30</v>
      </c>
      <c r="E26" s="47">
        <f>B50*1.5</f>
        <v>2817.1698000000001</v>
      </c>
    </row>
    <row r="27" spans="1:16" x14ac:dyDescent="0.25">
      <c r="A27" t="s">
        <v>28</v>
      </c>
      <c r="B27" s="22">
        <f>P24</f>
        <v>1705.39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3123.96</v>
      </c>
      <c r="H32" s="37"/>
      <c r="I32" s="26" t="s">
        <v>50</v>
      </c>
      <c r="J32" s="44">
        <f>'Sem 14'!J32+'Sem 15'!F32</f>
        <v>6847.36</v>
      </c>
      <c r="L32" s="37"/>
      <c r="M32" s="27" t="s">
        <v>50</v>
      </c>
      <c r="N32" s="45">
        <f>'Sem 14'!N32+'Sem 15'!F32</f>
        <v>6847.36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1878.1132</v>
      </c>
      <c r="H33" s="37"/>
      <c r="I33" s="26" t="s">
        <v>51</v>
      </c>
      <c r="J33" s="44">
        <f>'Sem 14'!J33+'Sem 15'!F33</f>
        <v>4089.6563999999998</v>
      </c>
      <c r="L33" s="37"/>
      <c r="M33" s="27" t="s">
        <v>51</v>
      </c>
      <c r="N33" s="45">
        <f>'Sem 14'!N33+'Sem 15'!F33</f>
        <v>4089.6563999999998</v>
      </c>
    </row>
    <row r="34" spans="1:15" x14ac:dyDescent="0.25">
      <c r="A34" t="s">
        <v>34</v>
      </c>
      <c r="B34" s="29">
        <f>IF(C34="","",(C34*1.16)+3.75+10)</f>
        <v>739.64319999999998</v>
      </c>
      <c r="C34" s="35">
        <v>625.77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1245.8468</v>
      </c>
      <c r="H35" s="37"/>
      <c r="I35" s="26" t="s">
        <v>52</v>
      </c>
      <c r="J35" s="44">
        <f>F35</f>
        <v>1245.8468</v>
      </c>
      <c r="L35" s="37"/>
      <c r="M35" s="27" t="s">
        <v>52</v>
      </c>
      <c r="N35" s="45">
        <f>J35</f>
        <v>1245.8468</v>
      </c>
    </row>
    <row r="36" spans="1:15" x14ac:dyDescent="0.25">
      <c r="A36" t="s">
        <v>36</v>
      </c>
      <c r="B36" s="31">
        <v>1128.07</v>
      </c>
      <c r="D36" s="37"/>
      <c r="E36" s="25" t="s">
        <v>53</v>
      </c>
      <c r="F36" s="43">
        <f>(F32-F33)/F33</f>
        <v>0.66335021765461211</v>
      </c>
      <c r="H36" s="37"/>
      <c r="I36" s="26" t="s">
        <v>53</v>
      </c>
      <c r="J36" s="52">
        <f>(J32-J33)/J33</f>
        <v>0.67431180771078958</v>
      </c>
      <c r="L36" s="37"/>
      <c r="M36" s="27" t="s">
        <v>53</v>
      </c>
      <c r="N36" s="53">
        <f>(N32-N33)/N33</f>
        <v>0.67431180771078958</v>
      </c>
    </row>
    <row r="37" spans="1:15" x14ac:dyDescent="0.25">
      <c r="A37" t="s">
        <v>37</v>
      </c>
      <c r="B37" s="31"/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x14ac:dyDescent="0.25">
      <c r="B39" s="21"/>
      <c r="D39" s="37"/>
      <c r="E39" s="25" t="s">
        <v>222</v>
      </c>
      <c r="F39" s="130">
        <f>F32-N47</f>
        <v>3110.96</v>
      </c>
      <c r="H39" s="37"/>
      <c r="L39" s="37"/>
      <c r="M39" s="121"/>
      <c r="N39" s="122" t="s">
        <v>217</v>
      </c>
      <c r="O39" s="123"/>
    </row>
    <row r="40" spans="1:15" x14ac:dyDescent="0.25">
      <c r="B40" s="21"/>
      <c r="D40" s="37"/>
      <c r="E40" s="25" t="s">
        <v>223</v>
      </c>
      <c r="F40" s="130">
        <f>F33-B43</f>
        <v>1867.7131999999999</v>
      </c>
      <c r="H40" s="37"/>
      <c r="L40" s="37"/>
      <c r="M40" s="124" t="s">
        <v>218</v>
      </c>
      <c r="N40" s="129">
        <v>13</v>
      </c>
      <c r="O40" s="125"/>
    </row>
    <row r="41" spans="1:15" x14ac:dyDescent="0.25">
      <c r="B41" s="21"/>
      <c r="D41" s="37"/>
      <c r="E41" s="25" t="s">
        <v>224</v>
      </c>
      <c r="F41" s="130">
        <f>F39-F40</f>
        <v>1243.2468000000001</v>
      </c>
      <c r="H41" s="37"/>
      <c r="L41" s="37"/>
      <c r="M41" s="124"/>
      <c r="N41" s="129"/>
      <c r="O41" s="125"/>
    </row>
    <row r="42" spans="1:15" x14ac:dyDescent="0.25">
      <c r="A42" s="2" t="s">
        <v>39</v>
      </c>
      <c r="B42" s="21"/>
      <c r="D42" s="37"/>
      <c r="E42" s="25" t="s">
        <v>225</v>
      </c>
      <c r="F42" s="131">
        <f>(F39-F40)/F40</f>
        <v>0.66565187845757057</v>
      </c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N48</f>
        <v>10.4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 t="s">
        <v>219</v>
      </c>
      <c r="N47" s="129">
        <f>SUM(N40:N46)</f>
        <v>13</v>
      </c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3123.96</v>
      </c>
      <c r="L48" s="37"/>
      <c r="M48" s="124" t="s">
        <v>220</v>
      </c>
      <c r="N48" s="129">
        <f>N47*0.8</f>
        <v>10.4</v>
      </c>
      <c r="O48" s="125"/>
    </row>
    <row r="49" spans="1:15" ht="15.75" thickBot="1" x14ac:dyDescent="0.3">
      <c r="B49" s="21"/>
      <c r="D49" s="37"/>
      <c r="G49" s="40">
        <v>571.76</v>
      </c>
      <c r="H49" s="37"/>
      <c r="L49" s="37"/>
      <c r="M49" s="124" t="s">
        <v>221</v>
      </c>
      <c r="N49" s="129">
        <f>N47-N48</f>
        <v>2.5999999999999996</v>
      </c>
      <c r="O49" s="125"/>
    </row>
    <row r="50" spans="1:15" ht="15.75" thickBot="1" x14ac:dyDescent="0.3">
      <c r="A50" t="s">
        <v>42</v>
      </c>
      <c r="B50" s="33">
        <f>SUM(B33:B48)</f>
        <v>1878.1132</v>
      </c>
      <c r="D50" s="37"/>
      <c r="G50" s="40"/>
      <c r="H50" s="37"/>
      <c r="I50" t="s">
        <v>62</v>
      </c>
      <c r="J50">
        <v>3025.96</v>
      </c>
      <c r="K50" s="41">
        <f>J50/K48</f>
        <v>0.96862955991754052</v>
      </c>
      <c r="L50" s="37"/>
      <c r="M50" s="124"/>
      <c r="N50" s="85"/>
      <c r="O50" s="125"/>
    </row>
    <row r="51" spans="1:15" ht="15.75" x14ac:dyDescent="0.25">
      <c r="B51" s="21"/>
      <c r="D51" s="37"/>
      <c r="F51" t="s">
        <v>57</v>
      </c>
      <c r="G51" s="39">
        <f>SUM(G49:G50)</f>
        <v>571.76</v>
      </c>
      <c r="H51" s="37"/>
      <c r="I51" t="s">
        <v>63</v>
      </c>
      <c r="J51" s="22">
        <f>K48-J50</f>
        <v>98</v>
      </c>
      <c r="K51" s="41">
        <f>J51/K48</f>
        <v>3.1370440082459441E-2</v>
      </c>
      <c r="L51" s="37"/>
      <c r="M51" s="124"/>
      <c r="N51" s="85"/>
      <c r="O51" s="125"/>
    </row>
    <row r="52" spans="1:15" ht="15.75" thickBot="1" x14ac:dyDescent="0.3">
      <c r="A52" t="s">
        <v>43</v>
      </c>
      <c r="B52" s="21"/>
      <c r="D52" s="37"/>
      <c r="H52" s="37"/>
      <c r="L52" s="37"/>
      <c r="M52" s="126"/>
      <c r="N52" s="127"/>
      <c r="O52" s="128"/>
    </row>
    <row r="53" spans="1:15" x14ac:dyDescent="0.25">
      <c r="A53" s="6" t="s">
        <v>188</v>
      </c>
      <c r="B53" s="21">
        <v>9.35</v>
      </c>
      <c r="D53" s="37"/>
      <c r="E53" t="s">
        <v>58</v>
      </c>
      <c r="G53" s="40">
        <v>1318.78</v>
      </c>
      <c r="H53" s="37"/>
      <c r="L53" s="37"/>
    </row>
    <row r="54" spans="1:15" x14ac:dyDescent="0.25">
      <c r="A54" s="79" t="s">
        <v>189</v>
      </c>
      <c r="B54" s="21">
        <f>B37*16%</f>
        <v>0</v>
      </c>
      <c r="D54" s="37"/>
      <c r="E54" t="s">
        <v>59</v>
      </c>
      <c r="G54" s="40" t="s">
        <v>130</v>
      </c>
      <c r="H54" s="37"/>
      <c r="L54" s="37"/>
    </row>
    <row r="55" spans="1:15" ht="15.75" thickBot="1" x14ac:dyDescent="0.3">
      <c r="D55" s="37"/>
      <c r="E55" t="s">
        <v>60</v>
      </c>
      <c r="G55" s="40">
        <v>390.89</v>
      </c>
      <c r="H55" s="37"/>
      <c r="L55" s="37"/>
      <c r="M55" t="s">
        <v>236</v>
      </c>
      <c r="N55" s="65">
        <f>'Sem 14'!N54+'Sem 15'!N35</f>
        <v>15706.073200000003</v>
      </c>
    </row>
    <row r="56" spans="1:15" ht="15.75" thickBot="1" x14ac:dyDescent="0.3">
      <c r="A56" t="s">
        <v>44</v>
      </c>
      <c r="B56" s="33">
        <v>4592.93</v>
      </c>
      <c r="D56" s="37"/>
      <c r="H56" s="37"/>
      <c r="L56" s="37"/>
      <c r="M56" t="s">
        <v>209</v>
      </c>
      <c r="N56" s="65">
        <f>FRAIS!$G$44*_xlfn.ISOWEEKNUM($L$3)</f>
        <v>14038.67596153846</v>
      </c>
    </row>
    <row r="57" spans="1:15" ht="15.75" thickBot="1" x14ac:dyDescent="0.3">
      <c r="A57" t="s">
        <v>45</v>
      </c>
      <c r="B57" s="21">
        <f>'Sem 14'!B56</f>
        <v>4720.18</v>
      </c>
    </row>
    <row r="58" spans="1:15" ht="16.5" thickBot="1" x14ac:dyDescent="0.3">
      <c r="B58" s="21"/>
      <c r="E58" t="s">
        <v>65</v>
      </c>
      <c r="G58" s="48">
        <f>SUM(G48:G50)+SUM(G53:G55)</f>
        <v>2281.4300000000003</v>
      </c>
      <c r="M58" t="s">
        <v>210</v>
      </c>
      <c r="N58" s="65">
        <f>N55-N56</f>
        <v>1667.3972384615427</v>
      </c>
    </row>
    <row r="59" spans="1:15" x14ac:dyDescent="0.25">
      <c r="A59" t="s">
        <v>46</v>
      </c>
      <c r="B59" s="73">
        <f>B56-B57</f>
        <v>-127.25</v>
      </c>
      <c r="C59" t="s">
        <v>231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7" tint="0.59999389629810485"/>
    <pageSetUpPr fitToPage="1"/>
  </sheetPr>
  <dimension ref="A1:P59"/>
  <sheetViews>
    <sheetView topLeftCell="A31" workbookViewId="0">
      <selection activeCell="N56" sqref="N56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3.28515625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43206</v>
      </c>
      <c r="C3" s="10"/>
      <c r="D3" s="9">
        <v>43207</v>
      </c>
      <c r="E3" s="10"/>
      <c r="F3" s="9">
        <v>43208</v>
      </c>
      <c r="G3" s="10"/>
      <c r="H3" s="9">
        <v>43209</v>
      </c>
      <c r="I3" s="10"/>
      <c r="J3" s="9">
        <v>43210</v>
      </c>
      <c r="K3" s="10"/>
      <c r="L3" s="9">
        <v>43211</v>
      </c>
      <c r="M3" s="10"/>
      <c r="N3" s="9">
        <v>43212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615.70000000000005</v>
      </c>
      <c r="E4" s="12"/>
      <c r="F4" s="12"/>
      <c r="G4" s="12"/>
      <c r="H4" s="12">
        <f>904.2-615.7</f>
        <v>288.5</v>
      </c>
      <c r="I4" s="12">
        <v>958.45</v>
      </c>
      <c r="J4" s="12"/>
      <c r="K4" s="12"/>
      <c r="L4" s="12"/>
      <c r="M4" s="12"/>
      <c r="N4" s="12"/>
      <c r="O4" s="12">
        <f>B4+D4+F4+H4+J4+L4+N4</f>
        <v>904.2</v>
      </c>
      <c r="P4" s="12">
        <f>C4+E4+G4+I4+K4+M4</f>
        <v>958.45</v>
      </c>
    </row>
    <row r="5" spans="1:16" ht="18.75" x14ac:dyDescent="0.3">
      <c r="A5" s="18" t="s">
        <v>11</v>
      </c>
      <c r="B5" s="13"/>
      <c r="C5" s="14"/>
      <c r="D5" s="14">
        <v>31.5</v>
      </c>
      <c r="E5" s="14"/>
      <c r="F5" s="14"/>
      <c r="G5" s="14"/>
      <c r="H5" s="14">
        <v>52.5</v>
      </c>
      <c r="I5" s="14"/>
      <c r="J5" s="14"/>
      <c r="K5" s="14"/>
      <c r="L5" s="14"/>
      <c r="M5" s="14"/>
      <c r="N5" s="14"/>
      <c r="O5" s="12">
        <f t="shared" ref="O5:O23" si="0">B5+D5+F5+H5+J5+L5+N5</f>
        <v>84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262.5</v>
      </c>
      <c r="E6" s="14">
        <v>313.49</v>
      </c>
      <c r="F6" s="14"/>
      <c r="G6" s="14"/>
      <c r="H6" s="14">
        <v>110.3</v>
      </c>
      <c r="I6" s="14"/>
      <c r="J6" s="14">
        <v>161.5</v>
      </c>
      <c r="K6" s="14"/>
      <c r="L6" s="14"/>
      <c r="M6" s="14">
        <v>200</v>
      </c>
      <c r="N6" s="14"/>
      <c r="O6" s="12">
        <f t="shared" si="0"/>
        <v>534.29999999999995</v>
      </c>
      <c r="P6" s="12">
        <f t="shared" si="1"/>
        <v>513.49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411.5</v>
      </c>
      <c r="G7" s="14"/>
      <c r="H7" s="14"/>
      <c r="I7" s="14"/>
      <c r="J7" s="14">
        <f>574.9-411.5</f>
        <v>163.39999999999998</v>
      </c>
      <c r="K7" s="14">
        <v>609.39</v>
      </c>
      <c r="L7" s="14"/>
      <c r="M7" s="14"/>
      <c r="N7" s="14"/>
      <c r="O7" s="12">
        <f t="shared" si="0"/>
        <v>574.9</v>
      </c>
      <c r="P7" s="12">
        <f t="shared" si="1"/>
        <v>609.39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171.8</v>
      </c>
      <c r="I9" s="14">
        <v>182.11</v>
      </c>
      <c r="J9" s="14"/>
      <c r="K9" s="14"/>
      <c r="L9" s="14">
        <v>130.5</v>
      </c>
      <c r="M9" s="14"/>
      <c r="N9" s="14"/>
      <c r="O9" s="12">
        <f t="shared" si="0"/>
        <v>302.3</v>
      </c>
      <c r="P9" s="12">
        <f t="shared" si="1"/>
        <v>182.11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471.6</v>
      </c>
      <c r="K13" s="14"/>
      <c r="L13" s="14"/>
      <c r="M13" s="14"/>
      <c r="N13" s="14"/>
      <c r="O13" s="12">
        <f t="shared" si="0"/>
        <v>471.6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>
        <v>205.75</v>
      </c>
      <c r="G15" s="14"/>
      <c r="H15" s="14">
        <v>120.4</v>
      </c>
      <c r="I15" s="14"/>
      <c r="J15" s="14"/>
      <c r="K15" s="14"/>
      <c r="L15" s="14"/>
      <c r="M15" s="14"/>
      <c r="N15" s="14"/>
      <c r="O15" s="12">
        <f t="shared" si="0"/>
        <v>326.14999999999998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f>245.9+70.34</f>
        <v>316.24</v>
      </c>
      <c r="E16" s="14">
        <v>220</v>
      </c>
      <c r="F16" s="14"/>
      <c r="G16" s="14"/>
      <c r="H16" s="14">
        <v>177.85</v>
      </c>
      <c r="I16" s="14"/>
      <c r="J16" s="14"/>
      <c r="K16" s="14"/>
      <c r="L16" s="14"/>
      <c r="M16" s="14"/>
      <c r="N16" s="14"/>
      <c r="O16" s="12">
        <f t="shared" si="0"/>
        <v>494.09000000000003</v>
      </c>
      <c r="P16" s="12">
        <f t="shared" si="1"/>
        <v>220</v>
      </c>
    </row>
    <row r="17" spans="1:16" ht="18.75" x14ac:dyDescent="0.3">
      <c r="A17" s="18" t="s">
        <v>23</v>
      </c>
      <c r="B17" s="13"/>
      <c r="C17" s="14"/>
      <c r="D17" s="14">
        <v>140.69999999999999</v>
      </c>
      <c r="E17" s="14"/>
      <c r="F17" s="14"/>
      <c r="G17" s="14"/>
      <c r="H17" s="14">
        <v>267.7</v>
      </c>
      <c r="I17" s="14"/>
      <c r="J17" s="14"/>
      <c r="K17" s="14"/>
      <c r="L17" s="14"/>
      <c r="M17" s="14"/>
      <c r="N17" s="14"/>
      <c r="O17" s="12">
        <f t="shared" si="0"/>
        <v>408.4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183.25</v>
      </c>
      <c r="G18" s="14"/>
      <c r="H18" s="14"/>
      <c r="I18" s="14"/>
      <c r="J18" s="14">
        <f>390.7-183.25+3.76</f>
        <v>211.20999999999998</v>
      </c>
      <c r="K18" s="14">
        <v>291.29000000000002</v>
      </c>
      <c r="L18" s="14"/>
      <c r="M18" s="14"/>
      <c r="N18" s="14"/>
      <c r="O18" s="12">
        <f t="shared" si="0"/>
        <v>394.46</v>
      </c>
      <c r="P18" s="12">
        <f t="shared" si="1"/>
        <v>291.29000000000002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>
        <v>111.5</v>
      </c>
      <c r="E23" s="17">
        <v>111.5</v>
      </c>
      <c r="F23" s="17">
        <v>75</v>
      </c>
      <c r="G23" s="17">
        <v>75</v>
      </c>
      <c r="H23" s="17"/>
      <c r="I23" s="17"/>
      <c r="J23" s="17"/>
      <c r="K23" s="17"/>
      <c r="L23" s="17"/>
      <c r="M23" s="17"/>
      <c r="N23" s="17"/>
      <c r="O23" s="49">
        <f t="shared" si="0"/>
        <v>186.5</v>
      </c>
      <c r="P23" s="49">
        <f t="shared" si="1"/>
        <v>186.5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1478.14</v>
      </c>
      <c r="E24" s="21">
        <f t="shared" si="2"/>
        <v>644.99</v>
      </c>
      <c r="F24" s="21">
        <f t="shared" si="2"/>
        <v>875.5</v>
      </c>
      <c r="G24" s="21">
        <f t="shared" si="2"/>
        <v>75</v>
      </c>
      <c r="H24" s="21">
        <f t="shared" si="2"/>
        <v>1189.05</v>
      </c>
      <c r="I24" s="21">
        <f t="shared" si="2"/>
        <v>1140.56</v>
      </c>
      <c r="J24" s="21">
        <f t="shared" si="2"/>
        <v>1007.71</v>
      </c>
      <c r="K24" s="21">
        <f t="shared" si="2"/>
        <v>900.68000000000006</v>
      </c>
      <c r="L24" s="21">
        <f t="shared" si="2"/>
        <v>130.5</v>
      </c>
      <c r="M24" s="21">
        <f t="shared" si="2"/>
        <v>200</v>
      </c>
      <c r="N24" s="21">
        <f t="shared" si="2"/>
        <v>0</v>
      </c>
      <c r="O24" s="50">
        <f t="shared" si="2"/>
        <v>4680.9000000000005</v>
      </c>
      <c r="P24" s="50">
        <f t="shared" si="2"/>
        <v>2961.23</v>
      </c>
    </row>
    <row r="25" spans="1:16" ht="15.75" thickBot="1" x14ac:dyDescent="0.3">
      <c r="N25" t="s">
        <v>55</v>
      </c>
      <c r="O25" s="50">
        <f>SUM(B24+D24+F24+H24+J24+L24+N24)</f>
        <v>4680.9000000000005</v>
      </c>
      <c r="P25" s="50">
        <f>SUM(C24+E24+G24+I24+K24+M24)</f>
        <v>2961.23</v>
      </c>
    </row>
    <row r="26" spans="1:16" ht="15.75" thickBot="1" x14ac:dyDescent="0.3">
      <c r="A26" t="s">
        <v>27</v>
      </c>
      <c r="B26" s="22">
        <f>O24</f>
        <v>4680.9000000000005</v>
      </c>
      <c r="D26" s="5" t="s">
        <v>30</v>
      </c>
      <c r="E26" s="47">
        <f>B50*1.5</f>
        <v>4163.4264000000003</v>
      </c>
    </row>
    <row r="27" spans="1:16" x14ac:dyDescent="0.25">
      <c r="A27" t="s">
        <v>28</v>
      </c>
      <c r="B27" s="22">
        <f>P24</f>
        <v>2961.23</v>
      </c>
    </row>
    <row r="28" spans="1:16" x14ac:dyDescent="0.25">
      <c r="A28" s="3" t="s">
        <v>29</v>
      </c>
      <c r="B28" s="21">
        <v>915.34</v>
      </c>
    </row>
    <row r="29" spans="1:16" x14ac:dyDescent="0.25">
      <c r="F29" t="s">
        <v>130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4680.9000000000005</v>
      </c>
      <c r="H32" s="37"/>
      <c r="I32" s="26" t="s">
        <v>50</v>
      </c>
      <c r="J32" s="44">
        <f>'Sem 15'!J32</f>
        <v>6847.36</v>
      </c>
      <c r="L32" s="37"/>
      <c r="M32" s="27" t="s">
        <v>50</v>
      </c>
      <c r="N32" s="45">
        <f>'Sem 15'!N32</f>
        <v>6847.36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2775.6176</v>
      </c>
      <c r="H33" s="37"/>
      <c r="I33" s="26" t="s">
        <v>51</v>
      </c>
      <c r="J33" s="44">
        <f>'Sem 15'!J33</f>
        <v>4089.6563999999998</v>
      </c>
      <c r="L33" s="37"/>
      <c r="M33" s="27" t="s">
        <v>51</v>
      </c>
      <c r="N33" s="45">
        <f>'Sem 15'!N33</f>
        <v>4089.6563999999998</v>
      </c>
    </row>
    <row r="34" spans="1:15" x14ac:dyDescent="0.25">
      <c r="A34" t="s">
        <v>34</v>
      </c>
      <c r="B34" s="29">
        <f>IF(C34="","",(C34*1.16)+3.75+10)</f>
        <v>1703.7075999999997</v>
      </c>
      <c r="C34" s="35">
        <v>1456.86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1905.2824000000005</v>
      </c>
      <c r="H35" s="37"/>
      <c r="I35" s="26" t="s">
        <v>52</v>
      </c>
      <c r="J35" s="44">
        <f>J32-J33</f>
        <v>2757.7035999999998</v>
      </c>
      <c r="L35" s="37"/>
      <c r="M35" s="27" t="s">
        <v>52</v>
      </c>
      <c r="N35" s="45">
        <f>'Sem 15'!N35</f>
        <v>1245.8468</v>
      </c>
    </row>
    <row r="36" spans="1:15" x14ac:dyDescent="0.25">
      <c r="A36" t="s">
        <v>36</v>
      </c>
      <c r="B36" s="31">
        <v>673.28</v>
      </c>
      <c r="D36" s="37"/>
      <c r="E36" s="25" t="s">
        <v>53</v>
      </c>
      <c r="F36" s="43">
        <f>(F32-F33)/F33</f>
        <v>0.68643548016124434</v>
      </c>
      <c r="H36" s="37"/>
      <c r="I36" s="26" t="s">
        <v>53</v>
      </c>
      <c r="J36" s="52">
        <v>50.32</v>
      </c>
      <c r="L36" s="37"/>
      <c r="M36" s="27" t="s">
        <v>53</v>
      </c>
      <c r="N36" s="53">
        <f>(N32-N33)/N33</f>
        <v>0.67431180771078958</v>
      </c>
    </row>
    <row r="37" spans="1:15" x14ac:dyDescent="0.25">
      <c r="A37" t="s">
        <v>37</v>
      </c>
      <c r="B37" s="31">
        <v>315.05</v>
      </c>
      <c r="D37" s="37"/>
      <c r="H37" s="37"/>
      <c r="L37" s="37"/>
    </row>
    <row r="38" spans="1:15" ht="15.75" thickBot="1" x14ac:dyDescent="0.3">
      <c r="A38" t="s">
        <v>38</v>
      </c>
      <c r="B38" s="32">
        <v>24.3</v>
      </c>
      <c r="D38" s="37"/>
      <c r="H38" s="37"/>
      <c r="L38" s="37"/>
    </row>
    <row r="39" spans="1:15" x14ac:dyDescent="0.25">
      <c r="B39" s="21"/>
      <c r="D39" s="37"/>
      <c r="H39" s="37"/>
      <c r="L39" s="37"/>
      <c r="M39" s="121"/>
      <c r="N39" s="122" t="s">
        <v>217</v>
      </c>
      <c r="O39" s="123"/>
    </row>
    <row r="40" spans="1:15" x14ac:dyDescent="0.25">
      <c r="B40" s="21"/>
      <c r="D40" s="37"/>
      <c r="H40" s="37"/>
      <c r="L40" s="37"/>
      <c r="M40" s="124" t="s">
        <v>218</v>
      </c>
      <c r="N40" s="129">
        <v>70.34</v>
      </c>
      <c r="O40" s="125"/>
    </row>
    <row r="41" spans="1:15" x14ac:dyDescent="0.25">
      <c r="B41" s="21"/>
      <c r="D41" s="37"/>
      <c r="H41" s="37"/>
      <c r="L41" s="37"/>
      <c r="M41" s="124"/>
      <c r="N41" s="129">
        <v>3.76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N48</f>
        <v>59.280000000000008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 t="s">
        <v>219</v>
      </c>
      <c r="N47" s="129">
        <f>SUM(N40:N46)</f>
        <v>74.100000000000009</v>
      </c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4680.9000000000005</v>
      </c>
      <c r="L48" s="37"/>
      <c r="M48" s="124" t="s">
        <v>220</v>
      </c>
      <c r="N48" s="129">
        <f>N47*0.8</f>
        <v>59.280000000000008</v>
      </c>
      <c r="O48" s="125"/>
    </row>
    <row r="49" spans="1:15" ht="15.75" thickBot="1" x14ac:dyDescent="0.3">
      <c r="B49" s="21"/>
      <c r="D49" s="37"/>
      <c r="G49" s="40">
        <v>1660.93</v>
      </c>
      <c r="H49" s="37"/>
      <c r="L49" s="37"/>
      <c r="M49" s="124" t="s">
        <v>221</v>
      </c>
      <c r="N49" s="129">
        <f>N47-N48</f>
        <v>14.82</v>
      </c>
      <c r="O49" s="125"/>
    </row>
    <row r="50" spans="1:15" ht="15.75" thickBot="1" x14ac:dyDescent="0.3">
      <c r="A50" t="s">
        <v>42</v>
      </c>
      <c r="B50" s="33">
        <f>SUM(B33:B48)</f>
        <v>2775.6176</v>
      </c>
      <c r="D50" s="37"/>
      <c r="G50" s="40"/>
      <c r="H50" s="37"/>
      <c r="I50" t="s">
        <v>62</v>
      </c>
      <c r="J50">
        <v>4363.8999999999996</v>
      </c>
      <c r="K50" s="41">
        <f>J50/K48</f>
        <v>0.93227798073020129</v>
      </c>
      <c r="L50" s="37"/>
      <c r="M50" s="124"/>
      <c r="N50" s="85"/>
      <c r="O50" s="125"/>
    </row>
    <row r="51" spans="1:15" ht="15.75" x14ac:dyDescent="0.25">
      <c r="B51" s="21"/>
      <c r="D51" s="37"/>
      <c r="F51" t="s">
        <v>57</v>
      </c>
      <c r="G51" s="39">
        <f>SUM(G48:G50)</f>
        <v>1660.93</v>
      </c>
      <c r="H51" s="37"/>
      <c r="I51" t="s">
        <v>63</v>
      </c>
      <c r="J51" s="22">
        <f>K48-J50</f>
        <v>317.00000000000091</v>
      </c>
      <c r="K51" s="41">
        <f>J51/K48</f>
        <v>6.7722019269798733E-2</v>
      </c>
      <c r="L51" s="37"/>
      <c r="M51" s="124"/>
      <c r="N51" s="85"/>
      <c r="O51" s="125"/>
    </row>
    <row r="52" spans="1:15" ht="15.75" thickBot="1" x14ac:dyDescent="0.3">
      <c r="A52" t="s">
        <v>43</v>
      </c>
      <c r="B52" s="21"/>
      <c r="D52" s="37"/>
      <c r="H52" s="37"/>
      <c r="L52" s="37"/>
      <c r="M52" s="126"/>
      <c r="N52" s="127"/>
      <c r="O52" s="128"/>
    </row>
    <row r="53" spans="1:15" x14ac:dyDescent="0.25">
      <c r="A53" s="6" t="s">
        <v>188</v>
      </c>
      <c r="B53" s="21">
        <v>9.35</v>
      </c>
      <c r="D53" s="37"/>
      <c r="E53" t="s">
        <v>58</v>
      </c>
      <c r="G53" s="40">
        <v>1044.78</v>
      </c>
      <c r="H53" s="37"/>
      <c r="L53" s="37"/>
    </row>
    <row r="54" spans="1:15" x14ac:dyDescent="0.25">
      <c r="A54" s="79" t="s">
        <v>189</v>
      </c>
      <c r="B54" s="21">
        <f>B37*16%</f>
        <v>50.408000000000001</v>
      </c>
      <c r="D54" s="37"/>
      <c r="E54" t="s">
        <v>59</v>
      </c>
      <c r="G54" s="40">
        <v>30.16</v>
      </c>
      <c r="H54" s="37"/>
      <c r="L54" s="37"/>
    </row>
    <row r="55" spans="1:15" ht="15.75" thickBot="1" x14ac:dyDescent="0.3">
      <c r="D55" s="37"/>
      <c r="E55" t="s">
        <v>60</v>
      </c>
      <c r="G55" s="40">
        <v>391.38</v>
      </c>
      <c r="H55" s="37"/>
      <c r="L55" s="37"/>
      <c r="M55" t="s">
        <v>236</v>
      </c>
      <c r="N55" s="65">
        <f>'Sem 14'!N54+N35</f>
        <v>15706.073200000003</v>
      </c>
    </row>
    <row r="56" spans="1:15" ht="15.75" thickBot="1" x14ac:dyDescent="0.3">
      <c r="A56" t="s">
        <v>44</v>
      </c>
      <c r="B56" s="33">
        <v>5032</v>
      </c>
      <c r="D56" s="37"/>
      <c r="H56" s="37"/>
      <c r="L56" s="37"/>
      <c r="M56" t="s">
        <v>209</v>
      </c>
      <c r="N56" s="65">
        <f>FRAIS!$G$44*_xlfn.ISOWEEKNUM($L$3)</f>
        <v>14974.58769230769</v>
      </c>
    </row>
    <row r="57" spans="1:15" ht="15.75" thickBot="1" x14ac:dyDescent="0.3">
      <c r="A57" t="s">
        <v>45</v>
      </c>
      <c r="B57" s="21">
        <f>'Sem 15'!B56</f>
        <v>4592.93</v>
      </c>
    </row>
    <row r="58" spans="1:15" ht="16.5" thickBot="1" x14ac:dyDescent="0.3">
      <c r="B58" s="21"/>
      <c r="E58" t="s">
        <v>65</v>
      </c>
      <c r="G58" s="48">
        <f>SUM(G48:G50)+SUM(G53:G55)</f>
        <v>3127.25</v>
      </c>
      <c r="M58" t="s">
        <v>210</v>
      </c>
      <c r="N58" s="65">
        <f>N55-N56</f>
        <v>731.48550769231224</v>
      </c>
    </row>
    <row r="59" spans="1:15" x14ac:dyDescent="0.25">
      <c r="A59" t="s">
        <v>46</v>
      </c>
      <c r="B59" s="21">
        <f>B56-B57</f>
        <v>439.06999999999971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7" tint="0.59999389629810485"/>
    <pageSetUpPr fitToPage="1"/>
  </sheetPr>
  <dimension ref="A1:P82"/>
  <sheetViews>
    <sheetView topLeftCell="A28" workbookViewId="0">
      <selection activeCell="O4" sqref="O4:O36"/>
    </sheetView>
  </sheetViews>
  <sheetFormatPr baseColWidth="10" defaultRowHeight="15" x14ac:dyDescent="0.25"/>
  <cols>
    <col min="1" max="1" width="22.7109375" customWidth="1"/>
    <col min="2" max="2" width="12.5703125" customWidth="1"/>
    <col min="3" max="3" width="12" bestFit="1" customWidth="1"/>
    <col min="5" max="5" width="12.140625" customWidth="1"/>
    <col min="6" max="6" width="12.28515625" customWidth="1"/>
    <col min="7" max="7" width="12.140625" bestFit="1" customWidth="1"/>
    <col min="10" max="10" width="12" bestFit="1" customWidth="1"/>
    <col min="11" max="11" width="13.5703125" customWidth="1"/>
    <col min="12" max="12" width="12.7109375" customWidth="1"/>
    <col min="14" max="14" width="12.140625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43213</v>
      </c>
      <c r="C3" s="10"/>
      <c r="D3" s="9">
        <v>43214</v>
      </c>
      <c r="E3" s="10"/>
      <c r="F3" s="9">
        <v>43215</v>
      </c>
      <c r="G3" s="10"/>
      <c r="H3" s="9">
        <v>43216</v>
      </c>
      <c r="I3" s="10"/>
      <c r="J3" s="9">
        <v>43217</v>
      </c>
      <c r="K3" s="10"/>
      <c r="L3" s="9">
        <v>43218</v>
      </c>
      <c r="M3" s="10"/>
      <c r="N3" s="9">
        <v>43219</v>
      </c>
      <c r="O3" s="10"/>
      <c r="P3" s="10"/>
    </row>
    <row r="4" spans="1:16" ht="19.5" thickTop="1" x14ac:dyDescent="0.3">
      <c r="A4" s="18" t="s">
        <v>10</v>
      </c>
      <c r="B4" s="11"/>
      <c r="C4" s="12" t="s">
        <v>265</v>
      </c>
      <c r="D4" s="12">
        <v>308.2</v>
      </c>
      <c r="E4" s="12"/>
      <c r="F4" s="12"/>
      <c r="G4" s="12"/>
      <c r="H4" s="12">
        <v>576.75</v>
      </c>
      <c r="I4" s="12"/>
      <c r="J4" s="12">
        <f>1284.45+577.5</f>
        <v>1861.95</v>
      </c>
      <c r="K4" s="12"/>
      <c r="L4" s="12"/>
      <c r="M4" s="12"/>
      <c r="N4" s="12"/>
      <c r="O4" s="12">
        <f>B4+D4+F4+H4+J4+L4+N4</f>
        <v>2746.9</v>
      </c>
      <c r="P4" s="12" t="e">
        <f>C4+E4+G4+I4+K4+M4</f>
        <v>#VALUE!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85.5</v>
      </c>
      <c r="I5" s="14"/>
      <c r="J5" s="14"/>
      <c r="K5" s="14"/>
      <c r="L5" s="14">
        <v>730</v>
      </c>
      <c r="M5" s="14"/>
      <c r="N5" s="14"/>
      <c r="O5" s="12">
        <f t="shared" ref="O5:O36" si="0">B5+D5+F5+H5+J5+L5+N5</f>
        <v>815.5</v>
      </c>
      <c r="P5" s="12">
        <f t="shared" ref="P5:P36" si="1">C5+E5+G5+I5+K5+M5</f>
        <v>0</v>
      </c>
    </row>
    <row r="6" spans="1:16" ht="18.75" x14ac:dyDescent="0.3">
      <c r="A6" s="18" t="s">
        <v>12</v>
      </c>
      <c r="B6" s="13"/>
      <c r="C6" s="14"/>
      <c r="D6" s="14">
        <v>283.5</v>
      </c>
      <c r="E6" s="14">
        <v>200</v>
      </c>
      <c r="F6" s="14"/>
      <c r="G6" s="14"/>
      <c r="H6" s="14">
        <v>135.1</v>
      </c>
      <c r="I6" s="14"/>
      <c r="J6" s="14"/>
      <c r="K6" s="14"/>
      <c r="L6" s="14"/>
      <c r="M6" s="14"/>
      <c r="N6" s="14"/>
      <c r="O6" s="12">
        <f t="shared" si="0"/>
        <v>418.6</v>
      </c>
      <c r="P6" s="12">
        <f t="shared" si="1"/>
        <v>200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487.05</v>
      </c>
      <c r="K7" s="14"/>
      <c r="L7" s="14">
        <v>876</v>
      </c>
      <c r="M7" s="14"/>
      <c r="N7" s="14"/>
      <c r="O7" s="12">
        <f t="shared" si="0"/>
        <v>1363.05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>
        <v>121.5</v>
      </c>
      <c r="K8" s="14">
        <v>128.79</v>
      </c>
      <c r="L8" s="14">
        <v>901.5</v>
      </c>
      <c r="M8" s="14"/>
      <c r="N8" s="14"/>
      <c r="O8" s="12">
        <f t="shared" si="0"/>
        <v>1023</v>
      </c>
      <c r="P8" s="12">
        <f t="shared" si="1"/>
        <v>128.79</v>
      </c>
    </row>
    <row r="9" spans="1:16" ht="18.75" x14ac:dyDescent="0.3">
      <c r="A9" s="19" t="s">
        <v>15</v>
      </c>
      <c r="B9" s="13">
        <v>130.5</v>
      </c>
      <c r="C9" s="14"/>
      <c r="D9" s="14">
        <v>308.56</v>
      </c>
      <c r="E9" s="14"/>
      <c r="F9" s="14"/>
      <c r="G9" s="14"/>
      <c r="H9" s="14"/>
      <c r="I9" s="14"/>
      <c r="J9" s="14">
        <v>1105.5</v>
      </c>
      <c r="K9" s="14"/>
      <c r="L9" s="14"/>
      <c r="M9" s="14"/>
      <c r="N9" s="14"/>
      <c r="O9" s="12">
        <f t="shared" si="0"/>
        <v>1544.56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>
        <v>180</v>
      </c>
      <c r="K12" s="14"/>
      <c r="L12" s="14">
        <v>606.16</v>
      </c>
      <c r="M12" s="14"/>
      <c r="N12" s="14"/>
      <c r="O12" s="12">
        <f t="shared" si="0"/>
        <v>786.16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>
        <v>396.68</v>
      </c>
      <c r="M13" s="14"/>
      <c r="N13" s="14"/>
      <c r="O13" s="12">
        <f t="shared" si="0"/>
        <v>396.68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131.30000000000001</v>
      </c>
      <c r="G14" s="14"/>
      <c r="H14" s="14"/>
      <c r="I14" s="14"/>
      <c r="J14" s="14">
        <f>272.3-131.3</f>
        <v>141</v>
      </c>
      <c r="K14" s="14"/>
      <c r="L14" s="14"/>
      <c r="M14" s="14"/>
      <c r="N14" s="14"/>
      <c r="O14" s="12">
        <f t="shared" si="0"/>
        <v>272.3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152.5</v>
      </c>
      <c r="E15" s="14">
        <v>345.72</v>
      </c>
      <c r="F15" s="14"/>
      <c r="G15" s="14"/>
      <c r="H15" s="14"/>
      <c r="I15" s="14"/>
      <c r="J15" s="14">
        <v>1365</v>
      </c>
      <c r="K15" s="14"/>
      <c r="L15" s="14"/>
      <c r="M15" s="14"/>
      <c r="N15" s="14"/>
      <c r="O15" s="12">
        <f t="shared" si="0"/>
        <v>1517.5</v>
      </c>
      <c r="P15" s="12">
        <f t="shared" si="1"/>
        <v>345.72</v>
      </c>
    </row>
    <row r="16" spans="1:16" ht="18.75" x14ac:dyDescent="0.3">
      <c r="A16" s="19" t="s">
        <v>22</v>
      </c>
      <c r="B16" s="13"/>
      <c r="C16" s="14"/>
      <c r="D16" s="14">
        <v>152.5</v>
      </c>
      <c r="E16" s="14">
        <v>59.09</v>
      </c>
      <c r="F16" s="14"/>
      <c r="G16" s="14"/>
      <c r="H16" s="14"/>
      <c r="I16" s="14"/>
      <c r="J16" s="14">
        <v>1552.45</v>
      </c>
      <c r="K16" s="14"/>
      <c r="L16" s="14"/>
      <c r="M16" s="14"/>
      <c r="N16" s="14"/>
      <c r="O16" s="12">
        <f t="shared" si="0"/>
        <v>1704.95</v>
      </c>
      <c r="P16" s="12">
        <f t="shared" si="1"/>
        <v>59.09</v>
      </c>
    </row>
    <row r="17" spans="1:16" ht="18.75" x14ac:dyDescent="0.3">
      <c r="A17" s="18" t="s">
        <v>23</v>
      </c>
      <c r="B17" s="13"/>
      <c r="C17" s="14"/>
      <c r="D17" s="14">
        <v>132.4</v>
      </c>
      <c r="E17" s="14"/>
      <c r="F17" s="14"/>
      <c r="G17" s="14"/>
      <c r="H17" s="14">
        <v>136.5</v>
      </c>
      <c r="I17" s="14"/>
      <c r="J17" s="14"/>
      <c r="K17" s="14"/>
      <c r="L17" s="14">
        <v>1657.9</v>
      </c>
      <c r="M17" s="14"/>
      <c r="N17" s="14"/>
      <c r="O17" s="12">
        <f t="shared" si="0"/>
        <v>1926.8000000000002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91.5</v>
      </c>
      <c r="G18" s="14">
        <v>73.67</v>
      </c>
      <c r="H18" s="14"/>
      <c r="I18" s="14"/>
      <c r="J18" s="14">
        <f>481.68-91.5</f>
        <v>390.18</v>
      </c>
      <c r="K18" s="14"/>
      <c r="L18" s="14">
        <v>530.75</v>
      </c>
      <c r="M18" s="14"/>
      <c r="N18" s="14"/>
      <c r="O18" s="12">
        <f t="shared" si="0"/>
        <v>1012.4300000000001</v>
      </c>
      <c r="P18" s="12">
        <f t="shared" si="1"/>
        <v>73.67</v>
      </c>
    </row>
    <row r="19" spans="1:16" ht="18.75" x14ac:dyDescent="0.3">
      <c r="A19" s="81" t="s">
        <v>239</v>
      </c>
      <c r="B19" s="15"/>
      <c r="C19" s="14"/>
      <c r="D19" s="14"/>
      <c r="E19" s="14"/>
      <c r="F19" s="14"/>
      <c r="G19" s="14"/>
      <c r="H19" s="14"/>
      <c r="I19" s="14"/>
      <c r="J19" s="14">
        <v>408.5</v>
      </c>
      <c r="K19" s="14"/>
      <c r="L19" s="14"/>
      <c r="M19" s="14"/>
      <c r="N19" s="14"/>
      <c r="O19" s="12">
        <f t="shared" si="0"/>
        <v>408.5</v>
      </c>
      <c r="P19" s="12">
        <f t="shared" si="1"/>
        <v>0</v>
      </c>
    </row>
    <row r="20" spans="1:16" ht="18.75" x14ac:dyDescent="0.3">
      <c r="A20" s="81" t="s">
        <v>240</v>
      </c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>
        <v>2815.2</v>
      </c>
      <c r="M20" s="14"/>
      <c r="N20" s="14"/>
      <c r="O20" s="12">
        <f t="shared" si="0"/>
        <v>2815.2</v>
      </c>
      <c r="P20" s="12">
        <f t="shared" si="1"/>
        <v>0</v>
      </c>
    </row>
    <row r="21" spans="1:16" ht="18.75" x14ac:dyDescent="0.3">
      <c r="A21" s="81" t="s">
        <v>241</v>
      </c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>
        <v>637</v>
      </c>
      <c r="M21" s="14"/>
      <c r="N21" s="14"/>
      <c r="O21" s="12">
        <f t="shared" si="0"/>
        <v>637</v>
      </c>
      <c r="P21" s="12">
        <f t="shared" si="1"/>
        <v>0</v>
      </c>
    </row>
    <row r="22" spans="1:16" ht="18.75" x14ac:dyDescent="0.3">
      <c r="A22" s="81" t="s">
        <v>242</v>
      </c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>
        <v>1019.5</v>
      </c>
      <c r="M22" s="14"/>
      <c r="N22" s="14"/>
      <c r="O22" s="12">
        <f t="shared" si="0"/>
        <v>1019.5</v>
      </c>
      <c r="P22" s="12">
        <f t="shared" si="1"/>
        <v>0</v>
      </c>
    </row>
    <row r="23" spans="1:16" ht="18.75" x14ac:dyDescent="0.3">
      <c r="A23" s="20" t="s">
        <v>243</v>
      </c>
      <c r="B23" s="15"/>
      <c r="C23" s="14"/>
      <c r="D23" s="14"/>
      <c r="E23" s="14"/>
      <c r="F23" s="14"/>
      <c r="G23" s="14"/>
      <c r="H23" s="14"/>
      <c r="I23" s="14"/>
      <c r="J23" s="14"/>
      <c r="K23" s="14"/>
      <c r="L23" s="14">
        <v>412</v>
      </c>
      <c r="M23" s="14"/>
      <c r="N23" s="14"/>
      <c r="O23" s="12">
        <f t="shared" si="0"/>
        <v>412</v>
      </c>
      <c r="P23" s="12">
        <f t="shared" si="1"/>
        <v>0</v>
      </c>
    </row>
    <row r="24" spans="1:16" ht="18.75" x14ac:dyDescent="0.3">
      <c r="A24" s="20" t="s">
        <v>244</v>
      </c>
      <c r="B24" s="15"/>
      <c r="C24" s="14"/>
      <c r="D24" s="14"/>
      <c r="E24" s="14"/>
      <c r="F24" s="14"/>
      <c r="G24" s="14"/>
      <c r="H24" s="14"/>
      <c r="I24" s="14"/>
      <c r="J24" s="14"/>
      <c r="K24" s="14"/>
      <c r="L24" s="14">
        <v>2382.1</v>
      </c>
      <c r="M24" s="14"/>
      <c r="N24" s="14"/>
      <c r="O24" s="12">
        <f t="shared" si="0"/>
        <v>2382.1</v>
      </c>
      <c r="P24" s="12">
        <f t="shared" si="1"/>
        <v>0</v>
      </c>
    </row>
    <row r="25" spans="1:16" ht="18.75" x14ac:dyDescent="0.3">
      <c r="A25" s="20" t="s">
        <v>245</v>
      </c>
      <c r="B25" s="15"/>
      <c r="C25" s="14"/>
      <c r="D25" s="14"/>
      <c r="E25" s="14"/>
      <c r="F25" s="14"/>
      <c r="G25" s="14"/>
      <c r="H25" s="14"/>
      <c r="I25" s="14"/>
      <c r="J25" s="14">
        <v>8023.32</v>
      </c>
      <c r="K25" s="14"/>
      <c r="L25" s="14">
        <v>1332</v>
      </c>
      <c r="M25" s="14"/>
      <c r="N25" s="14"/>
      <c r="O25" s="12">
        <f t="shared" si="0"/>
        <v>9355.32</v>
      </c>
      <c r="P25" s="12">
        <f t="shared" si="1"/>
        <v>0</v>
      </c>
    </row>
    <row r="26" spans="1:16" ht="18.75" x14ac:dyDescent="0.3">
      <c r="A26" s="20" t="s">
        <v>246</v>
      </c>
      <c r="B26" s="15"/>
      <c r="C26" s="14"/>
      <c r="D26" s="14"/>
      <c r="E26" s="14"/>
      <c r="F26" s="14"/>
      <c r="G26" s="14"/>
      <c r="H26" s="14"/>
      <c r="I26" s="14"/>
      <c r="J26" s="14"/>
      <c r="K26" s="14"/>
      <c r="L26" s="14">
        <v>330.5</v>
      </c>
      <c r="M26" s="14"/>
      <c r="N26" s="14"/>
      <c r="O26" s="12">
        <f t="shared" si="0"/>
        <v>330.5</v>
      </c>
      <c r="P26" s="12">
        <f t="shared" si="1"/>
        <v>0</v>
      </c>
    </row>
    <row r="27" spans="1:16" ht="18.75" x14ac:dyDescent="0.3">
      <c r="A27" s="20" t="s">
        <v>247</v>
      </c>
      <c r="B27" s="15"/>
      <c r="C27" s="14"/>
      <c r="D27" s="14"/>
      <c r="E27" s="14"/>
      <c r="F27" s="14"/>
      <c r="G27" s="14"/>
      <c r="H27" s="14"/>
      <c r="I27" s="14"/>
      <c r="J27" s="14"/>
      <c r="K27" s="14"/>
      <c r="L27" s="14">
        <v>775.25</v>
      </c>
      <c r="M27" s="14"/>
      <c r="N27" s="14"/>
      <c r="O27" s="12">
        <f t="shared" si="0"/>
        <v>775.25</v>
      </c>
      <c r="P27" s="12">
        <f t="shared" si="1"/>
        <v>0</v>
      </c>
    </row>
    <row r="28" spans="1:16" ht="18.75" x14ac:dyDescent="0.3">
      <c r="A28" s="20" t="s">
        <v>248</v>
      </c>
      <c r="B28" s="15"/>
      <c r="C28" s="14"/>
      <c r="D28" s="14"/>
      <c r="E28" s="14"/>
      <c r="F28" s="14"/>
      <c r="G28" s="14"/>
      <c r="H28" s="14"/>
      <c r="I28" s="14"/>
      <c r="J28" s="14">
        <v>451.5</v>
      </c>
      <c r="K28" s="14"/>
      <c r="L28" s="14"/>
      <c r="M28" s="14"/>
      <c r="N28" s="14"/>
      <c r="O28" s="12">
        <f t="shared" si="0"/>
        <v>451.5</v>
      </c>
      <c r="P28" s="12">
        <f t="shared" si="1"/>
        <v>0</v>
      </c>
    </row>
    <row r="29" spans="1:16" ht="18.75" x14ac:dyDescent="0.3">
      <c r="A29" s="20" t="s">
        <v>249</v>
      </c>
      <c r="B29" s="15"/>
      <c r="C29" s="14"/>
      <c r="D29" s="14"/>
      <c r="E29" s="14"/>
      <c r="F29" s="14"/>
      <c r="G29" s="14"/>
      <c r="H29" s="14"/>
      <c r="I29" s="14"/>
      <c r="J29" s="14"/>
      <c r="K29" s="14"/>
      <c r="L29" s="14">
        <v>1097.5</v>
      </c>
      <c r="M29" s="14">
        <v>1200</v>
      </c>
      <c r="N29" s="14"/>
      <c r="O29" s="12">
        <f t="shared" si="0"/>
        <v>1097.5</v>
      </c>
      <c r="P29" s="12">
        <f t="shared" si="1"/>
        <v>1200</v>
      </c>
    </row>
    <row r="30" spans="1:16" ht="18.75" x14ac:dyDescent="0.3">
      <c r="A30" s="20" t="s">
        <v>250</v>
      </c>
      <c r="B30" s="15"/>
      <c r="C30" s="14"/>
      <c r="D30" s="14"/>
      <c r="E30" s="14"/>
      <c r="F30" s="14"/>
      <c r="G30" s="14"/>
      <c r="H30" s="14"/>
      <c r="I30" s="14"/>
      <c r="J30" s="14"/>
      <c r="K30" s="14"/>
      <c r="L30" s="14">
        <v>371.5</v>
      </c>
      <c r="M30" s="14">
        <v>690</v>
      </c>
      <c r="N30" s="14"/>
      <c r="O30" s="12">
        <f t="shared" si="0"/>
        <v>371.5</v>
      </c>
      <c r="P30" s="12">
        <f t="shared" si="1"/>
        <v>690</v>
      </c>
    </row>
    <row r="31" spans="1:16" ht="18.75" x14ac:dyDescent="0.3">
      <c r="A31" s="20" t="s">
        <v>251</v>
      </c>
      <c r="B31" s="15"/>
      <c r="C31" s="14"/>
      <c r="D31" s="14"/>
      <c r="E31" s="14"/>
      <c r="F31" s="14"/>
      <c r="G31" s="14"/>
      <c r="H31" s="14"/>
      <c r="I31" s="14"/>
      <c r="J31" s="14"/>
      <c r="K31" s="14"/>
      <c r="L31" s="14">
        <v>496.5</v>
      </c>
      <c r="M31" s="14"/>
      <c r="N31" s="14"/>
      <c r="O31" s="12">
        <f t="shared" si="0"/>
        <v>496.5</v>
      </c>
      <c r="P31" s="12">
        <f t="shared" si="1"/>
        <v>0</v>
      </c>
    </row>
    <row r="32" spans="1:16" ht="18.75" x14ac:dyDescent="0.3">
      <c r="A32" s="20" t="s">
        <v>252</v>
      </c>
      <c r="B32" s="15"/>
      <c r="C32" s="14"/>
      <c r="D32" s="14"/>
      <c r="E32" s="14"/>
      <c r="F32" s="14"/>
      <c r="G32" s="14"/>
      <c r="H32" s="14"/>
      <c r="I32" s="14"/>
      <c r="J32" s="14">
        <v>2796.5</v>
      </c>
      <c r="K32" s="14"/>
      <c r="L32" s="14"/>
      <c r="M32" s="14"/>
      <c r="N32" s="14"/>
      <c r="O32" s="12">
        <f t="shared" si="0"/>
        <v>2796.5</v>
      </c>
      <c r="P32" s="12">
        <f t="shared" si="1"/>
        <v>0</v>
      </c>
    </row>
    <row r="33" spans="1:16" ht="18.75" x14ac:dyDescent="0.3">
      <c r="A33" s="20" t="s">
        <v>253</v>
      </c>
      <c r="B33" s="15"/>
      <c r="C33" s="14"/>
      <c r="D33" s="14"/>
      <c r="E33" s="14"/>
      <c r="F33" s="14"/>
      <c r="G33" s="14"/>
      <c r="H33" s="14"/>
      <c r="I33" s="14"/>
      <c r="J33" s="14"/>
      <c r="K33" s="14"/>
      <c r="L33" s="14">
        <v>2325.5</v>
      </c>
      <c r="M33" s="14"/>
      <c r="N33" s="14"/>
      <c r="O33" s="12">
        <f t="shared" si="0"/>
        <v>2325.5</v>
      </c>
      <c r="P33" s="12">
        <f t="shared" si="1"/>
        <v>0</v>
      </c>
    </row>
    <row r="34" spans="1:16" ht="18.75" x14ac:dyDescent="0.3">
      <c r="A34" s="20" t="s">
        <v>254</v>
      </c>
      <c r="B34" s="15"/>
      <c r="C34" s="14"/>
      <c r="D34" s="14"/>
      <c r="E34" s="14"/>
      <c r="F34" s="14"/>
      <c r="G34" s="14"/>
      <c r="H34" s="14"/>
      <c r="I34" s="14"/>
      <c r="J34" s="14"/>
      <c r="K34" s="14"/>
      <c r="L34" s="14">
        <v>620</v>
      </c>
      <c r="M34" s="14">
        <v>500</v>
      </c>
      <c r="N34" s="14"/>
      <c r="O34" s="12">
        <f t="shared" si="0"/>
        <v>620</v>
      </c>
      <c r="P34" s="12">
        <f t="shared" si="1"/>
        <v>500</v>
      </c>
    </row>
    <row r="35" spans="1:16" ht="18.75" x14ac:dyDescent="0.3">
      <c r="A35" s="20" t="s">
        <v>255</v>
      </c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4">
        <f>395.05+500.45</f>
        <v>895.5</v>
      </c>
      <c r="M35" s="14">
        <v>500</v>
      </c>
      <c r="N35" s="14"/>
      <c r="O35" s="12">
        <f t="shared" si="0"/>
        <v>895.5</v>
      </c>
      <c r="P35" s="12">
        <f t="shared" si="1"/>
        <v>500</v>
      </c>
    </row>
    <row r="36" spans="1:16" ht="18.75" x14ac:dyDescent="0.3">
      <c r="A36" s="46" t="s">
        <v>64</v>
      </c>
      <c r="B36" s="16"/>
      <c r="C36" s="17"/>
      <c r="D36" s="17"/>
      <c r="E36" s="17"/>
      <c r="F36" s="17"/>
      <c r="G36" s="17"/>
      <c r="H36" s="17"/>
      <c r="I36" s="17"/>
      <c r="J36" s="17">
        <v>80</v>
      </c>
      <c r="K36" s="17">
        <v>80</v>
      </c>
      <c r="L36" s="17"/>
      <c r="M36" s="17"/>
      <c r="N36" s="17"/>
      <c r="O36" s="12">
        <f t="shared" si="0"/>
        <v>80</v>
      </c>
      <c r="P36" s="12">
        <f t="shared" si="1"/>
        <v>80</v>
      </c>
    </row>
    <row r="37" spans="1:16" x14ac:dyDescent="0.25">
      <c r="A37" t="s">
        <v>54</v>
      </c>
      <c r="B37" s="21">
        <f>SUM(B4:B36)</f>
        <v>130.5</v>
      </c>
      <c r="C37" s="21">
        <f t="shared" ref="C37:P37" si="2">SUM(C4:C36)</f>
        <v>0</v>
      </c>
      <c r="D37" s="21">
        <f t="shared" si="2"/>
        <v>1337.66</v>
      </c>
      <c r="E37" s="21">
        <f t="shared" si="2"/>
        <v>604.81000000000006</v>
      </c>
      <c r="F37" s="21">
        <f t="shared" si="2"/>
        <v>222.8</v>
      </c>
      <c r="G37" s="21">
        <f t="shared" si="2"/>
        <v>73.67</v>
      </c>
      <c r="H37" s="21">
        <f t="shared" si="2"/>
        <v>933.85</v>
      </c>
      <c r="I37" s="21">
        <f t="shared" si="2"/>
        <v>0</v>
      </c>
      <c r="J37" s="21">
        <f t="shared" si="2"/>
        <v>18964.45</v>
      </c>
      <c r="K37" s="21">
        <f t="shared" si="2"/>
        <v>208.79</v>
      </c>
      <c r="L37" s="21">
        <f t="shared" si="2"/>
        <v>21209.040000000001</v>
      </c>
      <c r="M37" s="21">
        <f t="shared" si="2"/>
        <v>2890</v>
      </c>
      <c r="N37" s="21">
        <f t="shared" si="2"/>
        <v>0</v>
      </c>
      <c r="O37" s="141">
        <f t="shared" si="2"/>
        <v>42798.3</v>
      </c>
      <c r="P37" s="50" t="e">
        <f t="shared" si="2"/>
        <v>#VALUE!</v>
      </c>
    </row>
    <row r="38" spans="1:16" ht="15.75" thickBot="1" x14ac:dyDescent="0.3">
      <c r="N38" t="s">
        <v>55</v>
      </c>
      <c r="O38" s="141" t="s">
        <v>134</v>
      </c>
      <c r="P38" s="50">
        <f>SUM(C37+E37+G37+I37+K37+M37)</f>
        <v>3777.27</v>
      </c>
    </row>
    <row r="39" spans="1:16" ht="15.75" thickBot="1" x14ac:dyDescent="0.3">
      <c r="A39" t="s">
        <v>27</v>
      </c>
      <c r="B39" s="22">
        <f>O37</f>
        <v>42798.3</v>
      </c>
      <c r="D39" s="5" t="s">
        <v>30</v>
      </c>
      <c r="E39" s="47">
        <f>B68*1.5</f>
        <v>43834.370999999999</v>
      </c>
    </row>
    <row r="40" spans="1:16" x14ac:dyDescent="0.25">
      <c r="A40" t="s">
        <v>28</v>
      </c>
      <c r="B40" s="22" t="e">
        <f>P37</f>
        <v>#VALUE!</v>
      </c>
    </row>
    <row r="41" spans="1:16" x14ac:dyDescent="0.25">
      <c r="A41" s="3" t="s">
        <v>29</v>
      </c>
    </row>
    <row r="43" spans="1:16" x14ac:dyDescent="0.25">
      <c r="A43" s="23" t="s">
        <v>31</v>
      </c>
      <c r="D43" s="37"/>
      <c r="E43" s="7" t="s">
        <v>47</v>
      </c>
      <c r="F43" s="7"/>
      <c r="H43" s="37"/>
      <c r="I43" s="7" t="s">
        <v>48</v>
      </c>
      <c r="J43" s="7"/>
      <c r="L43" s="37"/>
      <c r="M43" s="7" t="s">
        <v>49</v>
      </c>
      <c r="N43" s="7"/>
    </row>
    <row r="44" spans="1:16" x14ac:dyDescent="0.25">
      <c r="D44" s="37"/>
      <c r="H44" s="37"/>
      <c r="L44" s="37"/>
    </row>
    <row r="45" spans="1:16" ht="15.75" thickBot="1" x14ac:dyDescent="0.3">
      <c r="A45" s="24" t="s">
        <v>32</v>
      </c>
      <c r="C45" t="s">
        <v>41</v>
      </c>
      <c r="D45" s="37"/>
      <c r="E45" s="25" t="s">
        <v>50</v>
      </c>
      <c r="F45" s="42">
        <f>O37</f>
        <v>42798.3</v>
      </c>
      <c r="H45" s="37"/>
      <c r="I45" s="26" t="s">
        <v>50</v>
      </c>
      <c r="J45" s="44">
        <f>'Sem 16'!J32+'Sem 17'!F45</f>
        <v>49645.66</v>
      </c>
      <c r="L45" s="37"/>
      <c r="M45" s="27" t="s">
        <v>50</v>
      </c>
      <c r="N45" s="45">
        <f>'Sem 16'!N32+'Sem 17'!F45</f>
        <v>49645.66</v>
      </c>
    </row>
    <row r="46" spans="1:16" x14ac:dyDescent="0.25">
      <c r="A46" t="s">
        <v>33</v>
      </c>
      <c r="B46" s="137" t="str">
        <f>IF(C46="","",(C46*1.16)+3.75+10)</f>
        <v/>
      </c>
      <c r="C46" s="134"/>
      <c r="D46" s="37"/>
      <c r="E46" s="25" t="s">
        <v>51</v>
      </c>
      <c r="F46" s="42">
        <f>B68</f>
        <v>29222.913999999997</v>
      </c>
      <c r="H46" s="37"/>
      <c r="I46" s="26" t="s">
        <v>51</v>
      </c>
      <c r="J46" s="44">
        <f>'Sem 16'!J33+'Sem 17'!F46</f>
        <v>33312.570399999997</v>
      </c>
      <c r="L46" s="37"/>
      <c r="M46" s="27" t="s">
        <v>51</v>
      </c>
      <c r="N46" s="45">
        <f>'Sem 16'!N33+'Sem 17'!F46</f>
        <v>33312.570399999997</v>
      </c>
    </row>
    <row r="47" spans="1:16" x14ac:dyDescent="0.25">
      <c r="A47" t="s">
        <v>34</v>
      </c>
      <c r="B47" s="31">
        <f>IF(C47="","",(C47*1.16)+3.75+10)</f>
        <v>4512.5199999999995</v>
      </c>
      <c r="C47" s="135">
        <v>3878.25</v>
      </c>
      <c r="D47" s="37"/>
      <c r="E47" s="25"/>
      <c r="F47" s="25"/>
      <c r="H47" s="37"/>
      <c r="I47" s="26"/>
      <c r="J47" s="44">
        <f>'Sem 16'!J34+'Sem 17'!F47</f>
        <v>0</v>
      </c>
      <c r="L47" s="37"/>
      <c r="M47" s="27"/>
      <c r="N47" s="45"/>
    </row>
    <row r="48" spans="1:16" x14ac:dyDescent="0.25">
      <c r="A48" t="s">
        <v>35</v>
      </c>
      <c r="B48" s="31" t="str">
        <f>IF(C48="","",(C48*1.16)+3.75+10)</f>
        <v/>
      </c>
      <c r="C48" s="136"/>
      <c r="D48" s="37"/>
      <c r="E48" s="25" t="s">
        <v>52</v>
      </c>
      <c r="F48" s="42">
        <f>F45-F46</f>
        <v>13575.386000000006</v>
      </c>
      <c r="H48" s="37"/>
      <c r="I48" s="26" t="s">
        <v>52</v>
      </c>
      <c r="J48" s="44">
        <f>J45-J46</f>
        <v>16333.089600000007</v>
      </c>
      <c r="L48" s="37"/>
      <c r="M48" s="27" t="s">
        <v>52</v>
      </c>
      <c r="N48" s="45">
        <f>J48</f>
        <v>16333.089600000007</v>
      </c>
    </row>
    <row r="49" spans="1:15" x14ac:dyDescent="0.25">
      <c r="A49" t="s">
        <v>36</v>
      </c>
      <c r="B49" s="31">
        <v>2652.25</v>
      </c>
      <c r="D49" s="37"/>
      <c r="E49" s="25" t="s">
        <v>53</v>
      </c>
      <c r="F49" s="43">
        <f>(F45-F46)/F46</f>
        <v>0.46454593816345652</v>
      </c>
      <c r="H49" s="37"/>
      <c r="I49" s="26" t="s">
        <v>53</v>
      </c>
      <c r="J49" s="52">
        <f>(J45-J46)/J46</f>
        <v>0.49029808879593417</v>
      </c>
      <c r="L49" s="37"/>
      <c r="M49" s="27" t="s">
        <v>53</v>
      </c>
      <c r="N49" s="53">
        <f>(N45-N46)/N46</f>
        <v>0.49029808879593417</v>
      </c>
    </row>
    <row r="50" spans="1:15" x14ac:dyDescent="0.25">
      <c r="A50" t="s">
        <v>37</v>
      </c>
      <c r="B50" s="31"/>
      <c r="D50" s="37"/>
      <c r="H50" s="37"/>
      <c r="L50" s="37"/>
    </row>
    <row r="51" spans="1:15" ht="15.75" thickBot="1" x14ac:dyDescent="0.3">
      <c r="A51" t="s">
        <v>228</v>
      </c>
      <c r="B51" s="31">
        <v>13639.6</v>
      </c>
      <c r="D51" s="37"/>
      <c r="H51" s="37"/>
      <c r="L51" s="37"/>
    </row>
    <row r="52" spans="1:15" ht="15.75" thickBot="1" x14ac:dyDescent="0.3">
      <c r="A52" t="s">
        <v>237</v>
      </c>
      <c r="B52" s="32">
        <v>6722.8</v>
      </c>
      <c r="D52" s="37"/>
      <c r="E52" s="25" t="s">
        <v>222</v>
      </c>
      <c r="F52" s="130">
        <f>F45-N65</f>
        <v>42542.12</v>
      </c>
      <c r="H52" s="37"/>
      <c r="I52" t="s">
        <v>134</v>
      </c>
      <c r="L52" s="37"/>
      <c r="M52" s="121"/>
      <c r="N52" s="122" t="s">
        <v>217</v>
      </c>
      <c r="O52" s="123"/>
    </row>
    <row r="53" spans="1:15" ht="15.75" thickBot="1" x14ac:dyDescent="0.3">
      <c r="A53" t="s">
        <v>238</v>
      </c>
      <c r="B53" s="33">
        <v>1332</v>
      </c>
      <c r="D53" s="37"/>
      <c r="E53" s="25" t="s">
        <v>223</v>
      </c>
      <c r="F53" s="130">
        <f>F46-B61</f>
        <v>29017.969999999998</v>
      </c>
      <c r="H53" s="37"/>
      <c r="L53" s="37"/>
      <c r="M53" s="124" t="s">
        <v>218</v>
      </c>
      <c r="N53" s="129">
        <v>24.26</v>
      </c>
      <c r="O53" s="125"/>
    </row>
    <row r="54" spans="1:15" x14ac:dyDescent="0.25">
      <c r="A54" t="s">
        <v>256</v>
      </c>
      <c r="B54" s="129">
        <v>158.80000000000001</v>
      </c>
      <c r="D54" s="37"/>
      <c r="E54" s="25" t="s">
        <v>224</v>
      </c>
      <c r="F54" s="130">
        <f>F52-F53</f>
        <v>13524.150000000005</v>
      </c>
      <c r="H54" s="37"/>
      <c r="L54" s="37"/>
      <c r="M54" s="124"/>
      <c r="N54" s="129">
        <v>13</v>
      </c>
      <c r="O54" s="125"/>
    </row>
    <row r="55" spans="1:15" x14ac:dyDescent="0.25">
      <c r="A55" t="s">
        <v>257</v>
      </c>
      <c r="B55" s="129"/>
      <c r="D55" s="37"/>
      <c r="E55" s="25" t="s">
        <v>225</v>
      </c>
      <c r="F55" s="131">
        <f>(F52-F53)/F53</f>
        <v>0.46606120276504548</v>
      </c>
      <c r="H55" s="37"/>
      <c r="L55" s="37"/>
      <c r="M55" s="124"/>
      <c r="N55" s="129">
        <v>47</v>
      </c>
      <c r="O55" s="125"/>
    </row>
    <row r="56" spans="1:15" x14ac:dyDescent="0.25">
      <c r="B56" s="129"/>
      <c r="D56" s="37"/>
      <c r="H56" s="37"/>
      <c r="L56" s="37"/>
      <c r="M56" s="124"/>
      <c r="N56" s="129">
        <v>20</v>
      </c>
      <c r="O56" s="125"/>
    </row>
    <row r="57" spans="1:15" x14ac:dyDescent="0.25">
      <c r="B57" s="129"/>
      <c r="D57" s="37"/>
      <c r="H57" s="37"/>
      <c r="L57" s="37"/>
      <c r="M57" s="124"/>
      <c r="N57" s="129">
        <v>24.26</v>
      </c>
      <c r="O57" s="125"/>
    </row>
    <row r="58" spans="1:15" x14ac:dyDescent="0.25">
      <c r="B58" s="129"/>
      <c r="D58" s="37"/>
      <c r="H58" s="37"/>
      <c r="L58" s="37"/>
      <c r="M58" s="124"/>
      <c r="N58" s="129">
        <v>26</v>
      </c>
      <c r="O58" s="125"/>
    </row>
    <row r="59" spans="1:15" x14ac:dyDescent="0.25">
      <c r="B59" s="21"/>
      <c r="D59" s="37"/>
      <c r="H59" s="37"/>
      <c r="L59" s="37"/>
      <c r="M59" s="124"/>
      <c r="N59" s="129">
        <v>10.5</v>
      </c>
      <c r="O59" s="125"/>
    </row>
    <row r="60" spans="1:15" x14ac:dyDescent="0.25">
      <c r="A60" s="2" t="s">
        <v>39</v>
      </c>
      <c r="B60" s="21"/>
      <c r="D60" s="37"/>
      <c r="H60" s="37"/>
      <c r="L60" s="37"/>
      <c r="M60" s="124"/>
      <c r="N60" s="129">
        <v>3.5</v>
      </c>
      <c r="O60" s="125"/>
    </row>
    <row r="61" spans="1:15" x14ac:dyDescent="0.25">
      <c r="A61" t="s">
        <v>40</v>
      </c>
      <c r="B61" s="21">
        <f>N66</f>
        <v>204.94400000000002</v>
      </c>
      <c r="D61" s="37"/>
      <c r="H61" s="37"/>
      <c r="L61" s="37"/>
      <c r="M61" s="124"/>
      <c r="N61" s="129">
        <v>50.4</v>
      </c>
      <c r="O61" s="125"/>
    </row>
    <row r="62" spans="1:15" x14ac:dyDescent="0.25">
      <c r="A62" s="6"/>
      <c r="B62" s="21"/>
      <c r="D62" s="37"/>
      <c r="H62" s="37"/>
      <c r="L62" s="37"/>
      <c r="M62" s="124"/>
      <c r="N62" s="129">
        <v>37.26</v>
      </c>
      <c r="O62" s="125"/>
    </row>
    <row r="63" spans="1:15" x14ac:dyDescent="0.25">
      <c r="A63" s="6"/>
      <c r="B63" s="21"/>
      <c r="D63" s="37"/>
      <c r="H63" s="37"/>
      <c r="L63" s="37"/>
      <c r="M63" s="124"/>
      <c r="N63" s="129"/>
      <c r="O63" s="125"/>
    </row>
    <row r="64" spans="1:15" x14ac:dyDescent="0.25">
      <c r="A64" s="6"/>
      <c r="B64" s="21"/>
      <c r="D64" s="37"/>
      <c r="H64" s="37"/>
      <c r="L64" s="37"/>
      <c r="M64" s="124"/>
      <c r="N64" s="129"/>
      <c r="O64" s="125"/>
    </row>
    <row r="65" spans="1:15" x14ac:dyDescent="0.25">
      <c r="A65" s="6"/>
      <c r="B65" s="21"/>
      <c r="D65" s="37"/>
      <c r="H65" s="37"/>
      <c r="L65" s="37"/>
      <c r="M65" s="124" t="s">
        <v>219</v>
      </c>
      <c r="N65" s="129">
        <f>SUM(N53:N64)</f>
        <v>256.18</v>
      </c>
      <c r="O65" s="125"/>
    </row>
    <row r="66" spans="1:15" ht="15.75" x14ac:dyDescent="0.25">
      <c r="B66" s="21"/>
      <c r="D66" s="37"/>
      <c r="E66" t="s">
        <v>56</v>
      </c>
      <c r="G66" s="40"/>
      <c r="H66" s="37"/>
      <c r="I66" s="38" t="s">
        <v>61</v>
      </c>
      <c r="J66" s="38"/>
      <c r="K66" s="39">
        <f>F45</f>
        <v>42798.3</v>
      </c>
      <c r="L66" s="37"/>
      <c r="M66" s="124" t="s">
        <v>220</v>
      </c>
      <c r="N66" s="129">
        <f>N65*0.8</f>
        <v>204.94400000000002</v>
      </c>
      <c r="O66" s="125"/>
    </row>
    <row r="67" spans="1:15" ht="15.75" thickBot="1" x14ac:dyDescent="0.3">
      <c r="B67" s="21"/>
      <c r="D67" s="37"/>
      <c r="G67" s="40">
        <v>4415.8</v>
      </c>
      <c r="H67" s="37"/>
      <c r="L67" s="37"/>
      <c r="M67" s="124" t="s">
        <v>221</v>
      </c>
      <c r="N67" s="129">
        <f>N65-N66</f>
        <v>51.23599999999999</v>
      </c>
      <c r="O67" s="125"/>
    </row>
    <row r="68" spans="1:15" ht="15.75" thickBot="1" x14ac:dyDescent="0.3">
      <c r="A68" t="s">
        <v>42</v>
      </c>
      <c r="B68" s="33">
        <f>SUM(B46:B66)</f>
        <v>29222.913999999997</v>
      </c>
      <c r="D68" s="37"/>
      <c r="G68" s="40"/>
      <c r="H68" s="37"/>
      <c r="I68" t="s">
        <v>62</v>
      </c>
      <c r="K68" s="41">
        <f>J68/K66</f>
        <v>0</v>
      </c>
      <c r="L68" s="37"/>
      <c r="M68" s="124"/>
      <c r="N68" s="85"/>
      <c r="O68" s="125"/>
    </row>
    <row r="69" spans="1:15" ht="15.75" x14ac:dyDescent="0.25">
      <c r="B69" s="21"/>
      <c r="D69" s="37"/>
      <c r="F69" t="s">
        <v>57</v>
      </c>
      <c r="G69" s="39"/>
      <c r="H69" s="37"/>
      <c r="I69" t="s">
        <v>63</v>
      </c>
      <c r="J69" s="22">
        <f>K66-J68</f>
        <v>42798.3</v>
      </c>
      <c r="K69" s="41">
        <f>J69/K66</f>
        <v>1</v>
      </c>
      <c r="L69" s="37"/>
      <c r="M69" s="124"/>
      <c r="N69" s="85"/>
      <c r="O69" s="125"/>
    </row>
    <row r="70" spans="1:15" ht="15.75" thickBot="1" x14ac:dyDescent="0.3">
      <c r="A70" t="s">
        <v>43</v>
      </c>
      <c r="B70" s="21"/>
      <c r="D70" s="37"/>
      <c r="H70" s="37"/>
      <c r="L70" s="37"/>
      <c r="M70" s="126"/>
      <c r="N70" s="127"/>
      <c r="O70" s="128"/>
    </row>
    <row r="71" spans="1:15" x14ac:dyDescent="0.25">
      <c r="A71" s="6" t="s">
        <v>188</v>
      </c>
      <c r="B71" s="21">
        <v>9.35</v>
      </c>
      <c r="D71" s="37"/>
      <c r="E71" t="s">
        <v>58</v>
      </c>
      <c r="G71" s="40">
        <v>2969.47</v>
      </c>
      <c r="H71" s="37"/>
      <c r="L71" s="37"/>
    </row>
    <row r="72" spans="1:15" x14ac:dyDescent="0.25">
      <c r="A72" s="79" t="s">
        <v>189</v>
      </c>
      <c r="B72" s="21">
        <f>B50*16%</f>
        <v>0</v>
      </c>
      <c r="D72" s="37"/>
      <c r="E72" t="s">
        <v>59</v>
      </c>
      <c r="G72" s="40"/>
      <c r="H72" s="37"/>
      <c r="L72" s="37"/>
    </row>
    <row r="73" spans="1:15" x14ac:dyDescent="0.25">
      <c r="A73" s="79" t="s">
        <v>229</v>
      </c>
      <c r="D73" s="37"/>
      <c r="E73" t="s">
        <v>60</v>
      </c>
      <c r="G73" s="40"/>
      <c r="H73" s="37"/>
      <c r="L73" s="37"/>
    </row>
    <row r="74" spans="1:15" x14ac:dyDescent="0.25">
      <c r="A74" s="79" t="s">
        <v>230</v>
      </c>
      <c r="D74" s="37"/>
      <c r="H74" s="37"/>
      <c r="L74" s="37"/>
    </row>
    <row r="75" spans="1:15" ht="15.75" thickBot="1" x14ac:dyDescent="0.3">
      <c r="A75" s="79" t="s">
        <v>258</v>
      </c>
    </row>
    <row r="76" spans="1:15" ht="16.5" thickBot="1" x14ac:dyDescent="0.3">
      <c r="A76" s="79" t="s">
        <v>259</v>
      </c>
      <c r="E76" t="s">
        <v>65</v>
      </c>
      <c r="G76" s="48">
        <f>SUM(G66:G68)+SUM(G71:G73)</f>
        <v>7385.27</v>
      </c>
    </row>
    <row r="78" spans="1:15" ht="15.75" thickBot="1" x14ac:dyDescent="0.3"/>
    <row r="79" spans="1:15" ht="15.75" thickBot="1" x14ac:dyDescent="0.3">
      <c r="A79" t="s">
        <v>44</v>
      </c>
      <c r="B79" s="33"/>
    </row>
    <row r="80" spans="1:15" x14ac:dyDescent="0.25">
      <c r="A80" t="s">
        <v>45</v>
      </c>
      <c r="B80" s="21">
        <f>'Sem 16'!B56</f>
        <v>5032</v>
      </c>
    </row>
    <row r="81" spans="1:2" x14ac:dyDescent="0.25">
      <c r="B81" s="21"/>
    </row>
    <row r="82" spans="1:2" x14ac:dyDescent="0.25">
      <c r="A82" t="s">
        <v>46</v>
      </c>
      <c r="B82" s="21">
        <f>B79-B80</f>
        <v>-5032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65" fitToHeight="0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0.59999389629810485"/>
    <pageSetUpPr fitToPage="1"/>
  </sheetPr>
  <dimension ref="A1:P59"/>
  <sheetViews>
    <sheetView topLeftCell="A16" workbookViewId="0">
      <selection activeCell="E15" sqref="E15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43220</v>
      </c>
      <c r="C3" s="10"/>
      <c r="D3" s="9">
        <v>43221</v>
      </c>
      <c r="E3" s="10"/>
      <c r="F3" s="9">
        <v>43222</v>
      </c>
      <c r="G3" s="10"/>
      <c r="H3" s="9">
        <v>43223</v>
      </c>
      <c r="I3" s="10"/>
      <c r="J3" s="9">
        <v>43224</v>
      </c>
      <c r="K3" s="10"/>
      <c r="L3" s="9">
        <v>43225</v>
      </c>
      <c r="M3" s="10"/>
      <c r="N3" s="9">
        <v>43226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>
        <v>654.79999999999995</v>
      </c>
      <c r="I4" s="12">
        <v>2306.61</v>
      </c>
      <c r="J4" s="12"/>
      <c r="K4" s="12"/>
      <c r="L4" s="12"/>
      <c r="M4" s="12"/>
      <c r="N4" s="12"/>
      <c r="O4" s="12">
        <f>B4+D4+F4+H4+J4+L4+N4</f>
        <v>654.79999999999995</v>
      </c>
      <c r="P4" s="12">
        <f>C4+E4+G4+I4+K4+M4</f>
        <v>2306.61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121.5</v>
      </c>
      <c r="I6" s="14">
        <v>466.36</v>
      </c>
      <c r="J6" s="14"/>
      <c r="K6" s="14"/>
      <c r="L6" s="14"/>
      <c r="M6" s="14"/>
      <c r="N6" s="14"/>
      <c r="O6" s="12">
        <f t="shared" si="0"/>
        <v>121.5</v>
      </c>
      <c r="P6" s="12">
        <f t="shared" si="1"/>
        <v>466.36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245.95</v>
      </c>
      <c r="K7" s="14"/>
      <c r="L7" s="14"/>
      <c r="M7" s="14"/>
      <c r="N7" s="14"/>
      <c r="O7" s="12">
        <f t="shared" si="0"/>
        <v>245.95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240.05</v>
      </c>
      <c r="I9" s="14">
        <v>923.71</v>
      </c>
      <c r="J9" s="14"/>
      <c r="K9" s="14"/>
      <c r="L9" s="14"/>
      <c r="M9" s="14"/>
      <c r="N9" s="14"/>
      <c r="O9" s="12">
        <f t="shared" si="0"/>
        <v>240.05</v>
      </c>
      <c r="P9" s="12">
        <f t="shared" si="1"/>
        <v>923.71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>
        <v>209.2</v>
      </c>
      <c r="C14" s="14"/>
      <c r="D14" s="14">
        <v>186.5</v>
      </c>
      <c r="E14" s="14">
        <v>197.69</v>
      </c>
      <c r="F14" s="14"/>
      <c r="G14" s="14"/>
      <c r="H14" s="14"/>
      <c r="I14" s="14"/>
      <c r="J14" s="14">
        <v>42.5</v>
      </c>
      <c r="K14" s="14"/>
      <c r="L14" s="14"/>
      <c r="M14" s="14"/>
      <c r="N14" s="14"/>
      <c r="O14" s="12">
        <f t="shared" si="0"/>
        <v>438.2</v>
      </c>
      <c r="P14" s="12">
        <f t="shared" si="1"/>
        <v>197.69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>
        <v>274.5</v>
      </c>
      <c r="K15" s="14">
        <v>1608.55</v>
      </c>
      <c r="L15" s="14"/>
      <c r="M15" s="14"/>
      <c r="N15" s="14"/>
      <c r="O15" s="12">
        <f t="shared" si="0"/>
        <v>274.5</v>
      </c>
      <c r="P15" s="12">
        <f t="shared" si="1"/>
        <v>1608.55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>
        <v>120</v>
      </c>
      <c r="I17" s="14"/>
      <c r="J17" s="14"/>
      <c r="K17" s="14"/>
      <c r="L17" s="14"/>
      <c r="M17" s="14"/>
      <c r="N17" s="14"/>
      <c r="O17" s="12">
        <f t="shared" si="0"/>
        <v>120</v>
      </c>
      <c r="P17" s="12">
        <f t="shared" si="1"/>
        <v>0</v>
      </c>
    </row>
    <row r="18" spans="1:16" ht="18.75" x14ac:dyDescent="0.3">
      <c r="A18" s="18" t="s">
        <v>24</v>
      </c>
      <c r="B18" s="13">
        <v>452.8</v>
      </c>
      <c r="C18" s="14"/>
      <c r="D18" s="14"/>
      <c r="E18" s="14"/>
      <c r="F18" s="14"/>
      <c r="G18" s="14"/>
      <c r="H18" s="14"/>
      <c r="I18" s="14"/>
      <c r="J18" s="14">
        <v>378.6</v>
      </c>
      <c r="K18" s="14"/>
      <c r="L18" s="14"/>
      <c r="M18" s="14"/>
      <c r="N18" s="14"/>
      <c r="O18" s="12">
        <f t="shared" si="0"/>
        <v>831.40000000000009</v>
      </c>
      <c r="P18" s="12">
        <f t="shared" si="1"/>
        <v>0</v>
      </c>
    </row>
    <row r="19" spans="1:16" ht="18.75" x14ac:dyDescent="0.3">
      <c r="A19" s="20" t="s">
        <v>260</v>
      </c>
      <c r="B19" s="15">
        <v>1030.8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1030.8</v>
      </c>
      <c r="P19" s="12">
        <f t="shared" si="1"/>
        <v>0</v>
      </c>
    </row>
    <row r="20" spans="1:16" ht="18.75" x14ac:dyDescent="0.3">
      <c r="A20" s="20" t="s">
        <v>261</v>
      </c>
      <c r="B20" s="15">
        <v>189.5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189.5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1882.3</v>
      </c>
      <c r="C24" s="21">
        <f t="shared" ref="C24:P24" si="2">SUM(C4:C23)</f>
        <v>0</v>
      </c>
      <c r="D24" s="21">
        <f t="shared" si="2"/>
        <v>186.5</v>
      </c>
      <c r="E24" s="21">
        <f t="shared" si="2"/>
        <v>197.69</v>
      </c>
      <c r="F24" s="21">
        <f t="shared" si="2"/>
        <v>0</v>
      </c>
      <c r="G24" s="21">
        <f t="shared" si="2"/>
        <v>0</v>
      </c>
      <c r="H24" s="21">
        <f t="shared" si="2"/>
        <v>1136.3499999999999</v>
      </c>
      <c r="I24" s="21">
        <f t="shared" si="2"/>
        <v>3696.6800000000003</v>
      </c>
      <c r="J24" s="21">
        <f t="shared" si="2"/>
        <v>941.55000000000007</v>
      </c>
      <c r="K24" s="21">
        <f t="shared" si="2"/>
        <v>1608.55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4146.7</v>
      </c>
      <c r="P24" s="50">
        <f t="shared" si="2"/>
        <v>5502.92</v>
      </c>
    </row>
    <row r="25" spans="1:16" ht="15.75" thickBot="1" x14ac:dyDescent="0.3">
      <c r="N25" t="s">
        <v>55</v>
      </c>
      <c r="O25" s="50">
        <f>SUM(B24+D24+F24+H24+J24+L24+N24)</f>
        <v>4146.7</v>
      </c>
      <c r="P25" s="50">
        <f>SUM(C24+E24+G24+I24+K24+M24)</f>
        <v>5502.92</v>
      </c>
    </row>
    <row r="26" spans="1:16" ht="15.75" thickBot="1" x14ac:dyDescent="0.3">
      <c r="A26" t="s">
        <v>27</v>
      </c>
      <c r="B26" s="22">
        <f>O24</f>
        <v>4146.7</v>
      </c>
      <c r="D26" s="5" t="s">
        <v>30</v>
      </c>
      <c r="E26" s="47">
        <f>B50*1.5</f>
        <v>5052.9521999999997</v>
      </c>
    </row>
    <row r="27" spans="1:16" x14ac:dyDescent="0.25">
      <c r="A27" t="s">
        <v>28</v>
      </c>
      <c r="B27" s="22">
        <f>P24</f>
        <v>5502.92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4146.7</v>
      </c>
      <c r="H32" s="37"/>
      <c r="I32" s="26" t="s">
        <v>50</v>
      </c>
      <c r="J32" s="44">
        <f>'Sem 17'!J45+'Sem 18'!F32</f>
        <v>53792.36</v>
      </c>
      <c r="L32" s="37"/>
      <c r="M32" s="27" t="s">
        <v>50</v>
      </c>
      <c r="N32" s="45">
        <f>'Sem 17'!N45+'Sem 18'!F32</f>
        <v>53792.36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3368.6347999999998</v>
      </c>
      <c r="H33" s="37"/>
      <c r="I33" s="26" t="s">
        <v>51</v>
      </c>
      <c r="J33" s="44">
        <f>'Sem 17'!J46+'Sem 18'!F33</f>
        <v>36681.205199999997</v>
      </c>
      <c r="L33" s="37"/>
      <c r="M33" s="27" t="s">
        <v>51</v>
      </c>
      <c r="N33" s="45">
        <f>'Sem 17'!N46+'Sem 18'!F33</f>
        <v>36681.205199999997</v>
      </c>
    </row>
    <row r="34" spans="1:15" x14ac:dyDescent="0.25">
      <c r="A34" t="s">
        <v>34</v>
      </c>
      <c r="B34" s="29">
        <f>IF(C34="","",(C34*1.16)+3.75+10)</f>
        <v>1436.8147999999999</v>
      </c>
      <c r="C34" s="35">
        <v>1226.78</v>
      </c>
      <c r="D34" s="37"/>
      <c r="E34" s="25"/>
      <c r="F34" s="25"/>
      <c r="H34" s="37"/>
      <c r="I34" s="26"/>
      <c r="J34" s="44">
        <f>'Sem 17'!J47+'Sem 18'!F34</f>
        <v>0</v>
      </c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778.0652</v>
      </c>
      <c r="H35" s="37"/>
      <c r="I35" s="26" t="s">
        <v>52</v>
      </c>
      <c r="J35" s="44">
        <f>'Sem 17'!J48+'Sem 18'!F35</f>
        <v>17111.154800000008</v>
      </c>
      <c r="L35" s="37"/>
      <c r="M35" s="27" t="s">
        <v>52</v>
      </c>
      <c r="N35" s="45">
        <f>'Sem 17'!N48+'Sem 18'!F35</f>
        <v>17111.154800000008</v>
      </c>
    </row>
    <row r="36" spans="1:15" x14ac:dyDescent="0.25">
      <c r="A36" t="s">
        <v>36</v>
      </c>
      <c r="B36" s="31">
        <v>1554.49</v>
      </c>
      <c r="D36" s="37"/>
      <c r="E36" s="25" t="s">
        <v>53</v>
      </c>
      <c r="F36" s="43">
        <f>(F32-F33)/F33</f>
        <v>0.23097344954104257</v>
      </c>
      <c r="H36" s="37"/>
      <c r="I36" s="26" t="s">
        <v>53</v>
      </c>
      <c r="J36" s="52">
        <f>(J32-J33)/J33</f>
        <v>0.46648289516943148</v>
      </c>
      <c r="L36" s="37"/>
      <c r="M36" s="27" t="s">
        <v>53</v>
      </c>
      <c r="N36" s="53">
        <f>(N32-N33)/N33</f>
        <v>0.46648289516943148</v>
      </c>
    </row>
    <row r="37" spans="1:15" x14ac:dyDescent="0.25">
      <c r="A37" t="s">
        <v>37</v>
      </c>
      <c r="B37" s="31">
        <v>356.25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x14ac:dyDescent="0.25">
      <c r="B39" s="21"/>
      <c r="D39" s="37"/>
      <c r="H39" s="37"/>
      <c r="L39" s="37"/>
      <c r="M39" s="121"/>
      <c r="N39" s="122" t="s">
        <v>217</v>
      </c>
      <c r="O39" s="123"/>
    </row>
    <row r="40" spans="1:15" x14ac:dyDescent="0.25">
      <c r="B40" s="21"/>
      <c r="D40" s="37"/>
      <c r="H40" s="37"/>
      <c r="L40" s="37"/>
      <c r="M40" s="124" t="s">
        <v>218</v>
      </c>
      <c r="N40" s="129">
        <v>26.35</v>
      </c>
      <c r="O40" s="125"/>
    </row>
    <row r="41" spans="1:15" x14ac:dyDescent="0.25">
      <c r="B41" s="21"/>
      <c r="D41" s="37"/>
      <c r="H41" s="37"/>
      <c r="L41" s="37"/>
      <c r="M41" s="124"/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N48</f>
        <v>21.080000000000002</v>
      </c>
      <c r="D43" s="37"/>
      <c r="F43" t="s">
        <v>130</v>
      </c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C46" t="s">
        <v>134</v>
      </c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 t="s">
        <v>219</v>
      </c>
      <c r="N47" s="129">
        <f>SUM(N40:N46)</f>
        <v>26.35</v>
      </c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4146.7</v>
      </c>
      <c r="L48" s="37"/>
      <c r="M48" s="124" t="s">
        <v>220</v>
      </c>
      <c r="N48" s="129">
        <f>N47*0.8</f>
        <v>21.080000000000002</v>
      </c>
      <c r="O48" s="125"/>
    </row>
    <row r="49" spans="1:15" ht="15.75" thickBot="1" x14ac:dyDescent="0.3">
      <c r="B49" s="21"/>
      <c r="D49" s="37"/>
      <c r="G49" s="40">
        <v>1478.14</v>
      </c>
      <c r="H49" s="37"/>
      <c r="L49" s="37"/>
      <c r="M49" s="124" t="s">
        <v>221</v>
      </c>
      <c r="N49" s="129">
        <f>N47-N48</f>
        <v>5.27</v>
      </c>
      <c r="O49" s="125"/>
    </row>
    <row r="50" spans="1:15" ht="15.75" thickBot="1" x14ac:dyDescent="0.3">
      <c r="A50" t="s">
        <v>42</v>
      </c>
      <c r="B50" s="33">
        <f>SUM(B33:B48)</f>
        <v>3368.6347999999998</v>
      </c>
      <c r="D50" s="37"/>
      <c r="G50" s="40"/>
      <c r="H50" s="37"/>
      <c r="I50" t="s">
        <v>62</v>
      </c>
      <c r="K50" s="41">
        <f>J50/K48</f>
        <v>0</v>
      </c>
      <c r="L50" s="37"/>
      <c r="M50" s="124"/>
      <c r="N50" s="85"/>
      <c r="O50" s="125"/>
    </row>
    <row r="51" spans="1:15" ht="15.75" x14ac:dyDescent="0.25">
      <c r="B51" s="21"/>
      <c r="D51" s="37"/>
      <c r="F51" t="s">
        <v>57</v>
      </c>
      <c r="G51" s="39">
        <f>SUM(G48:G50)</f>
        <v>1478.14</v>
      </c>
      <c r="H51" s="37"/>
      <c r="I51" t="s">
        <v>63</v>
      </c>
      <c r="J51" s="22">
        <f>K48-J50</f>
        <v>4146.7</v>
      </c>
      <c r="K51" s="41">
        <f>J51/K48</f>
        <v>1</v>
      </c>
      <c r="L51" s="37"/>
      <c r="M51" s="124"/>
      <c r="N51" s="85"/>
      <c r="O51" s="125"/>
    </row>
    <row r="52" spans="1:15" ht="15.75" thickBot="1" x14ac:dyDescent="0.3">
      <c r="A52" t="s">
        <v>43</v>
      </c>
      <c r="B52" s="21"/>
      <c r="D52" s="37"/>
      <c r="H52" s="37"/>
      <c r="L52" s="37"/>
      <c r="M52" s="126"/>
      <c r="N52" s="127"/>
      <c r="O52" s="128"/>
    </row>
    <row r="53" spans="1:15" x14ac:dyDescent="0.25">
      <c r="A53" s="6" t="s">
        <v>188</v>
      </c>
      <c r="B53" s="21">
        <v>9.35</v>
      </c>
      <c r="D53" s="37"/>
      <c r="E53" t="s">
        <v>58</v>
      </c>
      <c r="G53" s="40">
        <v>2227.54</v>
      </c>
      <c r="H53" s="37"/>
      <c r="L53" s="37"/>
    </row>
    <row r="54" spans="1:15" x14ac:dyDescent="0.25">
      <c r="A54" s="79" t="s">
        <v>189</v>
      </c>
      <c r="B54" s="21">
        <f>B37*16%</f>
        <v>57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271.61</v>
      </c>
      <c r="H55" s="37"/>
      <c r="L55" s="37"/>
    </row>
    <row r="56" spans="1:15" ht="15.75" thickBot="1" x14ac:dyDescent="0.3">
      <c r="A56" t="s">
        <v>44</v>
      </c>
      <c r="B56" s="33">
        <v>32620.85</v>
      </c>
      <c r="D56" s="37"/>
      <c r="H56" s="37"/>
      <c r="L56" s="37"/>
    </row>
    <row r="57" spans="1:15" ht="15.75" thickBot="1" x14ac:dyDescent="0.3">
      <c r="A57" t="s">
        <v>45</v>
      </c>
      <c r="B57" s="21"/>
    </row>
    <row r="58" spans="1:15" ht="16.5" thickBot="1" x14ac:dyDescent="0.3">
      <c r="B58" s="21"/>
      <c r="E58" t="s">
        <v>65</v>
      </c>
      <c r="G58" s="48">
        <f>SUM(G48:G50)+SUM(G53:G55)</f>
        <v>3977.29</v>
      </c>
    </row>
    <row r="59" spans="1:15" x14ac:dyDescent="0.25">
      <c r="A59" t="s">
        <v>46</v>
      </c>
      <c r="B59" s="21"/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7" tint="0.59999389629810485"/>
  </sheetPr>
  <dimension ref="A1:G49"/>
  <sheetViews>
    <sheetView topLeftCell="A28" workbookViewId="0">
      <selection activeCell="D52" sqref="D52"/>
    </sheetView>
  </sheetViews>
  <sheetFormatPr baseColWidth="10" defaultRowHeight="15" x14ac:dyDescent="0.25"/>
  <cols>
    <col min="1" max="1" width="30.85546875" bestFit="1" customWidth="1"/>
    <col min="2" max="2" width="26.5703125" bestFit="1" customWidth="1"/>
    <col min="3" max="3" width="12" bestFit="1" customWidth="1"/>
  </cols>
  <sheetData>
    <row r="1" spans="1:5" x14ac:dyDescent="0.25">
      <c r="A1" t="s">
        <v>136</v>
      </c>
    </row>
    <row r="3" spans="1:5" x14ac:dyDescent="0.25">
      <c r="A3" t="s">
        <v>137</v>
      </c>
      <c r="C3" s="21">
        <v>1107.3599999999999</v>
      </c>
    </row>
    <row r="4" spans="1:5" x14ac:dyDescent="0.25">
      <c r="A4" t="s">
        <v>138</v>
      </c>
      <c r="C4" s="21">
        <v>2227.0300000000002</v>
      </c>
    </row>
    <row r="5" spans="1:5" x14ac:dyDescent="0.25">
      <c r="A5" t="s">
        <v>139</v>
      </c>
      <c r="C5" s="21">
        <v>1370.74</v>
      </c>
    </row>
    <row r="6" spans="1:5" x14ac:dyDescent="0.25">
      <c r="A6" t="s">
        <v>140</v>
      </c>
      <c r="C6" s="21">
        <v>310</v>
      </c>
    </row>
    <row r="7" spans="1:5" x14ac:dyDescent="0.25">
      <c r="A7" t="s">
        <v>141</v>
      </c>
      <c r="C7" s="21"/>
    </row>
    <row r="8" spans="1:5" x14ac:dyDescent="0.25">
      <c r="A8" t="s">
        <v>142</v>
      </c>
      <c r="C8" s="21">
        <v>305.37</v>
      </c>
    </row>
    <row r="9" spans="1:5" x14ac:dyDescent="0.25">
      <c r="C9" s="21"/>
    </row>
    <row r="10" spans="1:5" x14ac:dyDescent="0.25">
      <c r="A10" t="s">
        <v>143</v>
      </c>
      <c r="B10" t="s">
        <v>144</v>
      </c>
      <c r="C10" s="21">
        <v>603.77</v>
      </c>
    </row>
    <row r="11" spans="1:5" x14ac:dyDescent="0.25">
      <c r="B11" t="s">
        <v>145</v>
      </c>
      <c r="C11" s="21">
        <v>148.76</v>
      </c>
    </row>
    <row r="12" spans="1:5" x14ac:dyDescent="0.25">
      <c r="A12" t="s">
        <v>146</v>
      </c>
      <c r="B12" t="s">
        <v>144</v>
      </c>
      <c r="C12" s="21">
        <v>2745.26</v>
      </c>
    </row>
    <row r="13" spans="1:5" x14ac:dyDescent="0.25">
      <c r="B13" t="s">
        <v>147</v>
      </c>
      <c r="C13" s="21">
        <v>5114.71</v>
      </c>
    </row>
    <row r="14" spans="1:5" x14ac:dyDescent="0.25">
      <c r="A14" t="s">
        <v>148</v>
      </c>
      <c r="B14" t="s">
        <v>144</v>
      </c>
      <c r="C14" s="21">
        <v>1775.48</v>
      </c>
    </row>
    <row r="15" spans="1:5" x14ac:dyDescent="0.25">
      <c r="B15" t="s">
        <v>147</v>
      </c>
      <c r="C15" s="21">
        <v>9713.02</v>
      </c>
    </row>
    <row r="16" spans="1:5" x14ac:dyDescent="0.25">
      <c r="A16" t="s">
        <v>149</v>
      </c>
      <c r="B16" t="s">
        <v>144</v>
      </c>
      <c r="C16" s="21">
        <v>1033.75</v>
      </c>
      <c r="E16" t="s">
        <v>183</v>
      </c>
    </row>
    <row r="17" spans="1:5" x14ac:dyDescent="0.25">
      <c r="B17" t="s">
        <v>147</v>
      </c>
      <c r="C17" s="21">
        <v>7494.35</v>
      </c>
      <c r="E17" t="s">
        <v>182</v>
      </c>
    </row>
    <row r="18" spans="1:5" x14ac:dyDescent="0.25">
      <c r="A18" t="s">
        <v>150</v>
      </c>
      <c r="C18" s="21">
        <v>1450.82</v>
      </c>
    </row>
    <row r="19" spans="1:5" x14ac:dyDescent="0.25">
      <c r="A19" t="s">
        <v>151</v>
      </c>
      <c r="B19" t="s">
        <v>152</v>
      </c>
      <c r="C19" s="21">
        <v>0</v>
      </c>
    </row>
    <row r="20" spans="1:5" x14ac:dyDescent="0.25">
      <c r="B20" t="s">
        <v>153</v>
      </c>
      <c r="C20" s="21">
        <v>1703.79</v>
      </c>
    </row>
    <row r="21" spans="1:5" x14ac:dyDescent="0.25">
      <c r="B21" t="s">
        <v>154</v>
      </c>
      <c r="C21" s="21">
        <v>0</v>
      </c>
    </row>
    <row r="22" spans="1:5" x14ac:dyDescent="0.25">
      <c r="B22" t="s">
        <v>155</v>
      </c>
      <c r="C22" s="21">
        <v>199.78</v>
      </c>
    </row>
    <row r="23" spans="1:5" x14ac:dyDescent="0.25">
      <c r="B23" t="s">
        <v>156</v>
      </c>
      <c r="C23" s="21">
        <v>878.35</v>
      </c>
    </row>
    <row r="24" spans="1:5" x14ac:dyDescent="0.25">
      <c r="B24" t="s">
        <v>157</v>
      </c>
      <c r="C24" s="21">
        <v>94.34</v>
      </c>
    </row>
    <row r="25" spans="1:5" x14ac:dyDescent="0.25">
      <c r="B25" t="s">
        <v>158</v>
      </c>
      <c r="C25" s="21">
        <v>106.12</v>
      </c>
    </row>
    <row r="26" spans="1:5" x14ac:dyDescent="0.25">
      <c r="C26" s="21"/>
    </row>
    <row r="27" spans="1:5" x14ac:dyDescent="0.25">
      <c r="A27" t="s">
        <v>159</v>
      </c>
      <c r="B27" t="s">
        <v>160</v>
      </c>
      <c r="C27" s="21">
        <v>5280</v>
      </c>
      <c r="E27" t="s">
        <v>184</v>
      </c>
    </row>
    <row r="28" spans="1:5" x14ac:dyDescent="0.25">
      <c r="B28" t="s">
        <v>161</v>
      </c>
      <c r="C28" s="21">
        <v>0</v>
      </c>
    </row>
    <row r="29" spans="1:5" x14ac:dyDescent="0.25">
      <c r="C29" s="21"/>
    </row>
    <row r="30" spans="1:5" x14ac:dyDescent="0.25">
      <c r="A30" t="s">
        <v>146</v>
      </c>
      <c r="B30" t="s">
        <v>162</v>
      </c>
      <c r="C30" s="21">
        <v>145.37</v>
      </c>
    </row>
    <row r="31" spans="1:5" x14ac:dyDescent="0.25">
      <c r="B31" t="s">
        <v>163</v>
      </c>
      <c r="C31" s="21">
        <v>145.12</v>
      </c>
    </row>
    <row r="32" spans="1:5" x14ac:dyDescent="0.25">
      <c r="B32" t="s">
        <v>164</v>
      </c>
      <c r="C32" s="21">
        <v>2017.92</v>
      </c>
    </row>
    <row r="33" spans="1:7" x14ac:dyDescent="0.25">
      <c r="A33" t="s">
        <v>165</v>
      </c>
      <c r="B33" t="s">
        <v>166</v>
      </c>
      <c r="C33" s="21">
        <v>85</v>
      </c>
    </row>
    <row r="34" spans="1:7" x14ac:dyDescent="0.25">
      <c r="B34" t="s">
        <v>167</v>
      </c>
      <c r="C34" s="21">
        <v>100.31</v>
      </c>
    </row>
    <row r="35" spans="1:7" x14ac:dyDescent="0.25">
      <c r="B35" t="s">
        <v>168</v>
      </c>
      <c r="C35" s="21">
        <v>0</v>
      </c>
    </row>
    <row r="36" spans="1:7" x14ac:dyDescent="0.25">
      <c r="A36" t="s">
        <v>169</v>
      </c>
      <c r="B36" t="s">
        <v>170</v>
      </c>
      <c r="C36" s="21">
        <v>803.79</v>
      </c>
    </row>
    <row r="37" spans="1:7" x14ac:dyDescent="0.25">
      <c r="B37" t="s">
        <v>171</v>
      </c>
      <c r="C37" s="21">
        <v>116.75</v>
      </c>
    </row>
    <row r="38" spans="1:7" x14ac:dyDescent="0.25">
      <c r="B38" t="s">
        <v>172</v>
      </c>
      <c r="C38" s="21">
        <v>353.71</v>
      </c>
    </row>
    <row r="39" spans="1:7" x14ac:dyDescent="0.25">
      <c r="B39" t="s">
        <v>173</v>
      </c>
      <c r="C39" s="21">
        <v>39.17</v>
      </c>
    </row>
    <row r="40" spans="1:7" x14ac:dyDescent="0.25">
      <c r="B40" t="s">
        <v>174</v>
      </c>
      <c r="C40" s="21">
        <v>0</v>
      </c>
    </row>
    <row r="41" spans="1:7" x14ac:dyDescent="0.25">
      <c r="B41" t="s">
        <v>175</v>
      </c>
      <c r="C41" s="21">
        <v>805</v>
      </c>
    </row>
    <row r="42" spans="1:7" x14ac:dyDescent="0.25">
      <c r="B42" t="s">
        <v>176</v>
      </c>
      <c r="C42" s="21">
        <v>29.92</v>
      </c>
    </row>
    <row r="43" spans="1:7" x14ac:dyDescent="0.25">
      <c r="B43" t="s">
        <v>177</v>
      </c>
      <c r="C43" s="21">
        <v>362.55</v>
      </c>
    </row>
    <row r="44" spans="1:7" x14ac:dyDescent="0.25">
      <c r="A44" t="s">
        <v>178</v>
      </c>
      <c r="C44" s="21">
        <f>SUM(C3:C43)</f>
        <v>48667.409999999996</v>
      </c>
      <c r="E44" t="s">
        <v>186</v>
      </c>
      <c r="G44" s="65">
        <f>C44/52</f>
        <v>935.91173076923064</v>
      </c>
    </row>
    <row r="46" spans="1:7" x14ac:dyDescent="0.25">
      <c r="A46" t="s">
        <v>179</v>
      </c>
      <c r="C46" s="21">
        <v>1800</v>
      </c>
      <c r="E46" t="s">
        <v>185</v>
      </c>
    </row>
    <row r="47" spans="1:7" x14ac:dyDescent="0.25">
      <c r="A47" t="s">
        <v>180</v>
      </c>
      <c r="C47" s="21">
        <v>2253</v>
      </c>
      <c r="E47" t="s">
        <v>185</v>
      </c>
    </row>
    <row r="49" spans="1:3" x14ac:dyDescent="0.25">
      <c r="A49" t="s">
        <v>181</v>
      </c>
      <c r="C49" s="65">
        <f>C44+C46+C47</f>
        <v>52720.409999999996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7" tint="0.59999389629810485"/>
  </sheetPr>
  <dimension ref="A1:H51"/>
  <sheetViews>
    <sheetView topLeftCell="A31" workbookViewId="0">
      <selection activeCell="C46" sqref="C46"/>
    </sheetView>
  </sheetViews>
  <sheetFormatPr baseColWidth="10" defaultRowHeight="15" x14ac:dyDescent="0.25"/>
  <cols>
    <col min="1" max="1" width="30.85546875" bestFit="1" customWidth="1"/>
    <col min="2" max="2" width="26.5703125" bestFit="1" customWidth="1"/>
    <col min="3" max="3" width="13" bestFit="1" customWidth="1"/>
  </cols>
  <sheetData>
    <row r="1" spans="1:5" x14ac:dyDescent="0.25">
      <c r="A1" t="s">
        <v>136</v>
      </c>
    </row>
    <row r="3" spans="1:5" x14ac:dyDescent="0.25">
      <c r="A3" t="s">
        <v>137</v>
      </c>
      <c r="C3" s="21">
        <v>1107.3599999999999</v>
      </c>
    </row>
    <row r="4" spans="1:5" x14ac:dyDescent="0.25">
      <c r="A4" t="s">
        <v>138</v>
      </c>
      <c r="C4" s="21">
        <v>1575.54</v>
      </c>
    </row>
    <row r="5" spans="1:5" x14ac:dyDescent="0.25">
      <c r="A5" t="s">
        <v>139</v>
      </c>
      <c r="C5" s="21">
        <v>552.54</v>
      </c>
    </row>
    <row r="6" spans="1:5" x14ac:dyDescent="0.25">
      <c r="A6" t="s">
        <v>140</v>
      </c>
      <c r="C6" s="21">
        <v>0</v>
      </c>
    </row>
    <row r="7" spans="1:5" x14ac:dyDescent="0.25">
      <c r="A7" t="s">
        <v>141</v>
      </c>
      <c r="C7" s="21">
        <v>110.15</v>
      </c>
    </row>
    <row r="8" spans="1:5" x14ac:dyDescent="0.25">
      <c r="A8" t="s">
        <v>279</v>
      </c>
      <c r="C8" s="21">
        <v>140.63</v>
      </c>
    </row>
    <row r="9" spans="1:5" x14ac:dyDescent="0.25">
      <c r="C9" s="21"/>
    </row>
    <row r="10" spans="1:5" x14ac:dyDescent="0.25">
      <c r="A10" t="s">
        <v>143</v>
      </c>
      <c r="B10" t="s">
        <v>144</v>
      </c>
      <c r="C10" s="21">
        <v>36.53</v>
      </c>
      <c r="D10" t="s">
        <v>280</v>
      </c>
    </row>
    <row r="11" spans="1:5" x14ac:dyDescent="0.25">
      <c r="B11" t="s">
        <v>145</v>
      </c>
      <c r="C11" s="21">
        <v>148.76</v>
      </c>
    </row>
    <row r="12" spans="1:5" x14ac:dyDescent="0.25">
      <c r="A12" t="s">
        <v>146</v>
      </c>
      <c r="B12" t="s">
        <v>144</v>
      </c>
      <c r="C12" s="21">
        <v>2698.57</v>
      </c>
    </row>
    <row r="13" spans="1:5" x14ac:dyDescent="0.25">
      <c r="B13" t="s">
        <v>147</v>
      </c>
      <c r="C13" s="21">
        <v>1278.1500000000001</v>
      </c>
      <c r="D13" t="s">
        <v>280</v>
      </c>
    </row>
    <row r="14" spans="1:5" x14ac:dyDescent="0.25">
      <c r="A14" t="s">
        <v>148</v>
      </c>
      <c r="B14" t="s">
        <v>144</v>
      </c>
      <c r="C14" s="21">
        <v>75.849999999999994</v>
      </c>
      <c r="D14" t="s">
        <v>280</v>
      </c>
    </row>
    <row r="15" spans="1:5" x14ac:dyDescent="0.25">
      <c r="B15" t="s">
        <v>147</v>
      </c>
      <c r="C15" s="21">
        <v>5466.13</v>
      </c>
    </row>
    <row r="16" spans="1:5" x14ac:dyDescent="0.25">
      <c r="A16" t="s">
        <v>149</v>
      </c>
      <c r="B16" t="s">
        <v>144</v>
      </c>
      <c r="C16" s="21">
        <v>74.94</v>
      </c>
      <c r="D16" t="s">
        <v>280</v>
      </c>
      <c r="E16" t="s">
        <v>183</v>
      </c>
    </row>
    <row r="17" spans="1:8" x14ac:dyDescent="0.25">
      <c r="B17" t="s">
        <v>147</v>
      </c>
      <c r="C17" s="21">
        <v>5440.31</v>
      </c>
      <c r="E17" t="s">
        <v>284</v>
      </c>
      <c r="G17" s="65"/>
      <c r="H17" s="65"/>
    </row>
    <row r="18" spans="1:8" x14ac:dyDescent="0.25">
      <c r="A18" t="s">
        <v>150</v>
      </c>
      <c r="B18" t="s">
        <v>283</v>
      </c>
      <c r="C18" s="21">
        <f>590.38*2</f>
        <v>1180.76</v>
      </c>
    </row>
    <row r="19" spans="1:8" x14ac:dyDescent="0.25">
      <c r="A19" t="s">
        <v>151</v>
      </c>
      <c r="B19" t="s">
        <v>285</v>
      </c>
      <c r="C19" s="21">
        <f>924.21*2</f>
        <v>1848.42</v>
      </c>
    </row>
    <row r="20" spans="1:8" x14ac:dyDescent="0.25">
      <c r="B20" t="s">
        <v>153</v>
      </c>
      <c r="C20" s="21"/>
    </row>
    <row r="21" spans="1:8" x14ac:dyDescent="0.25">
      <c r="B21" t="s">
        <v>154</v>
      </c>
      <c r="C21" s="21">
        <v>0</v>
      </c>
    </row>
    <row r="22" spans="1:8" x14ac:dyDescent="0.25">
      <c r="B22" t="s">
        <v>155</v>
      </c>
      <c r="C22" s="21"/>
    </row>
    <row r="23" spans="1:8" x14ac:dyDescent="0.25">
      <c r="B23" t="s">
        <v>156</v>
      </c>
      <c r="C23" s="21">
        <v>75.38</v>
      </c>
    </row>
    <row r="24" spans="1:8" x14ac:dyDescent="0.25">
      <c r="B24" t="s">
        <v>157</v>
      </c>
      <c r="C24" s="21">
        <v>242.92</v>
      </c>
    </row>
    <row r="25" spans="1:8" x14ac:dyDescent="0.25">
      <c r="B25" t="s">
        <v>158</v>
      </c>
      <c r="C25" s="21">
        <v>40</v>
      </c>
    </row>
    <row r="26" spans="1:8" x14ac:dyDescent="0.25">
      <c r="C26" s="21"/>
    </row>
    <row r="27" spans="1:8" x14ac:dyDescent="0.25">
      <c r="A27" t="s">
        <v>159</v>
      </c>
      <c r="B27" t="s">
        <v>160</v>
      </c>
      <c r="C27" s="21">
        <v>5280</v>
      </c>
      <c r="E27" t="s">
        <v>184</v>
      </c>
    </row>
    <row r="28" spans="1:8" x14ac:dyDescent="0.25">
      <c r="B28" t="s">
        <v>161</v>
      </c>
      <c r="C28" s="21">
        <v>0</v>
      </c>
    </row>
    <row r="29" spans="1:8" x14ac:dyDescent="0.25">
      <c r="C29" s="21"/>
    </row>
    <row r="30" spans="1:8" x14ac:dyDescent="0.25">
      <c r="A30" t="s">
        <v>146</v>
      </c>
      <c r="B30" t="s">
        <v>162</v>
      </c>
      <c r="C30" s="21">
        <v>50.53</v>
      </c>
    </row>
    <row r="31" spans="1:8" x14ac:dyDescent="0.25">
      <c r="B31" t="s">
        <v>163</v>
      </c>
      <c r="C31" s="21">
        <v>31.19</v>
      </c>
    </row>
    <row r="32" spans="1:8" x14ac:dyDescent="0.25">
      <c r="B32" t="s">
        <v>164</v>
      </c>
      <c r="C32" s="21">
        <v>1335.54</v>
      </c>
    </row>
    <row r="33" spans="1:7" x14ac:dyDescent="0.25">
      <c r="B33" t="s">
        <v>281</v>
      </c>
      <c r="C33" s="21">
        <v>876.61</v>
      </c>
    </row>
    <row r="34" spans="1:7" x14ac:dyDescent="0.25">
      <c r="B34" t="s">
        <v>282</v>
      </c>
      <c r="C34" s="21">
        <v>412</v>
      </c>
    </row>
    <row r="35" spans="1:7" x14ac:dyDescent="0.25">
      <c r="A35" t="s">
        <v>165</v>
      </c>
      <c r="B35" t="s">
        <v>166</v>
      </c>
      <c r="C35" s="21">
        <v>85</v>
      </c>
    </row>
    <row r="36" spans="1:7" x14ac:dyDescent="0.25">
      <c r="B36" t="s">
        <v>167</v>
      </c>
      <c r="C36" s="21">
        <v>0</v>
      </c>
    </row>
    <row r="37" spans="1:7" x14ac:dyDescent="0.25">
      <c r="B37" t="s">
        <v>168</v>
      </c>
      <c r="C37" s="21">
        <v>0</v>
      </c>
    </row>
    <row r="38" spans="1:7" x14ac:dyDescent="0.25">
      <c r="A38" t="s">
        <v>169</v>
      </c>
      <c r="B38" t="s">
        <v>170</v>
      </c>
      <c r="C38" s="21">
        <v>446.02</v>
      </c>
    </row>
    <row r="39" spans="1:7" x14ac:dyDescent="0.25">
      <c r="B39" t="s">
        <v>171</v>
      </c>
      <c r="C39" s="21">
        <v>135.91</v>
      </c>
    </row>
    <row r="40" spans="1:7" x14ac:dyDescent="0.25">
      <c r="B40" t="s">
        <v>172</v>
      </c>
      <c r="C40" s="21">
        <v>0</v>
      </c>
    </row>
    <row r="41" spans="1:7" x14ac:dyDescent="0.25">
      <c r="B41" t="s">
        <v>173</v>
      </c>
      <c r="C41" s="21">
        <v>0</v>
      </c>
    </row>
    <row r="42" spans="1:7" x14ac:dyDescent="0.25">
      <c r="B42" t="s">
        <v>174</v>
      </c>
      <c r="C42" s="21">
        <v>0</v>
      </c>
    </row>
    <row r="43" spans="1:7" x14ac:dyDescent="0.25">
      <c r="B43" t="s">
        <v>175</v>
      </c>
      <c r="C43" s="21">
        <v>0</v>
      </c>
    </row>
    <row r="44" spans="1:7" x14ac:dyDescent="0.25">
      <c r="B44" t="s">
        <v>176</v>
      </c>
      <c r="C44" s="21">
        <v>0</v>
      </c>
    </row>
    <row r="45" spans="1:7" x14ac:dyDescent="0.25">
      <c r="B45" t="s">
        <v>177</v>
      </c>
      <c r="C45" s="21">
        <v>199.75</v>
      </c>
    </row>
    <row r="46" spans="1:7" x14ac:dyDescent="0.25">
      <c r="A46" t="s">
        <v>178</v>
      </c>
      <c r="C46" s="21">
        <f>SUM(C3:C45)</f>
        <v>30945.489999999998</v>
      </c>
      <c r="E46" t="s">
        <v>186</v>
      </c>
      <c r="G46" s="65">
        <f>C46/52</f>
        <v>595.10557692307691</v>
      </c>
    </row>
    <row r="48" spans="1:7" x14ac:dyDescent="0.25">
      <c r="A48" t="s">
        <v>179</v>
      </c>
      <c r="C48" s="21">
        <v>1800</v>
      </c>
      <c r="E48" t="s">
        <v>185</v>
      </c>
    </row>
    <row r="49" spans="1:5" x14ac:dyDescent="0.25">
      <c r="A49" t="s">
        <v>180</v>
      </c>
      <c r="C49" s="21">
        <v>2253</v>
      </c>
      <c r="E49" t="s">
        <v>185</v>
      </c>
    </row>
    <row r="51" spans="1:5" x14ac:dyDescent="0.25">
      <c r="A51" t="s">
        <v>181</v>
      </c>
      <c r="C51" s="65">
        <f>C46+C48+C49</f>
        <v>34998.49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7" tint="0.59999389629810485"/>
    <pageSetUpPr fitToPage="1"/>
  </sheetPr>
  <dimension ref="A1:S60"/>
  <sheetViews>
    <sheetView topLeftCell="A13" workbookViewId="0">
      <selection activeCell="B58" sqref="B58"/>
    </sheetView>
  </sheetViews>
  <sheetFormatPr baseColWidth="10" defaultRowHeight="15" x14ac:dyDescent="0.25"/>
  <cols>
    <col min="1" max="1" width="22.7109375" customWidth="1"/>
    <col min="2" max="2" width="12.140625" customWidth="1"/>
    <col min="3" max="3" width="12" bestFit="1" customWidth="1"/>
    <col min="5" max="5" width="12.140625" customWidth="1"/>
    <col min="6" max="6" width="12.5703125" customWidth="1"/>
    <col min="7" max="7" width="13.140625" customWidth="1"/>
    <col min="10" max="10" width="12" bestFit="1" customWidth="1"/>
    <col min="11" max="11" width="13.5703125" customWidth="1"/>
    <col min="14" max="15" width="12.5703125" customWidth="1"/>
  </cols>
  <sheetData>
    <row r="1" spans="1:19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9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9" ht="15.75" thickBot="1" x14ac:dyDescent="0.3">
      <c r="B3" s="9">
        <v>43227</v>
      </c>
      <c r="C3" s="10"/>
      <c r="D3" s="9">
        <v>43228</v>
      </c>
      <c r="E3" s="10"/>
      <c r="F3" s="9">
        <v>43229</v>
      </c>
      <c r="G3" s="10"/>
      <c r="H3" s="9">
        <v>43230</v>
      </c>
      <c r="I3" s="10"/>
      <c r="J3" s="9">
        <v>43231</v>
      </c>
      <c r="K3" s="10"/>
      <c r="L3" s="9">
        <v>43232</v>
      </c>
      <c r="M3" s="10"/>
      <c r="N3" s="9">
        <v>43233</v>
      </c>
      <c r="O3" s="10"/>
      <c r="P3" s="10"/>
    </row>
    <row r="4" spans="1:19" ht="19.5" thickTop="1" x14ac:dyDescent="0.3">
      <c r="A4" s="18" t="s">
        <v>10</v>
      </c>
      <c r="B4" s="11"/>
      <c r="C4" s="12"/>
      <c r="D4" s="12">
        <v>1763.3</v>
      </c>
      <c r="E4" s="12"/>
      <c r="F4" s="12"/>
      <c r="G4" s="12"/>
      <c r="H4" s="12">
        <v>1050.3</v>
      </c>
      <c r="I4" s="12"/>
      <c r="J4" s="12">
        <v>509.2</v>
      </c>
      <c r="K4" s="12"/>
      <c r="L4" s="12"/>
      <c r="M4" s="12"/>
      <c r="N4" s="12">
        <v>240.85</v>
      </c>
      <c r="O4" s="12">
        <f>B4+D4+F4+H4+J4+L4+N4</f>
        <v>3563.6499999999996</v>
      </c>
      <c r="P4" s="12">
        <f>C4+E4+G4+I4+K4+M4</f>
        <v>0</v>
      </c>
      <c r="Q4" s="142">
        <f>O4*0.75</f>
        <v>2672.7374999999997</v>
      </c>
      <c r="R4" s="142">
        <f>O4-Q4</f>
        <v>890.91249999999991</v>
      </c>
      <c r="S4" s="143">
        <v>0.25</v>
      </c>
    </row>
    <row r="5" spans="1:19" ht="18.75" x14ac:dyDescent="0.3">
      <c r="A5" s="18" t="s">
        <v>11</v>
      </c>
      <c r="B5" s="13"/>
      <c r="C5" s="14"/>
      <c r="D5" s="14">
        <v>104.45</v>
      </c>
      <c r="E5" s="14"/>
      <c r="F5" s="14"/>
      <c r="G5" s="14"/>
      <c r="H5" s="14"/>
      <c r="I5" s="14"/>
      <c r="J5" s="14"/>
      <c r="K5" s="14"/>
      <c r="L5" s="14">
        <v>179.6</v>
      </c>
      <c r="M5" s="14"/>
      <c r="N5" s="14"/>
      <c r="O5" s="12">
        <f t="shared" ref="O5:O23" si="0">B5+D5+F5+H5+J5+L5+N5</f>
        <v>284.05</v>
      </c>
      <c r="P5" s="12">
        <f t="shared" ref="P5:P23" si="1">C5+E5+G5+I5+K5+M5</f>
        <v>0</v>
      </c>
      <c r="Q5" s="65"/>
      <c r="R5" s="65"/>
    </row>
    <row r="6" spans="1:19" ht="18.75" x14ac:dyDescent="0.3">
      <c r="A6" s="18" t="s">
        <v>12</v>
      </c>
      <c r="B6" s="13"/>
      <c r="C6" s="14"/>
      <c r="D6" s="14">
        <v>337.6</v>
      </c>
      <c r="E6" s="14"/>
      <c r="F6" s="14"/>
      <c r="G6" s="14"/>
      <c r="H6" s="14">
        <v>390</v>
      </c>
      <c r="I6" s="14"/>
      <c r="J6" s="14"/>
      <c r="K6" s="14"/>
      <c r="L6" s="14">
        <v>192</v>
      </c>
      <c r="M6" s="14"/>
      <c r="N6" s="14"/>
      <c r="O6" s="12">
        <f t="shared" si="0"/>
        <v>919.6</v>
      </c>
      <c r="P6" s="12">
        <f t="shared" si="1"/>
        <v>0</v>
      </c>
      <c r="Q6" s="65"/>
      <c r="R6" s="65"/>
    </row>
    <row r="7" spans="1:19" ht="18.75" x14ac:dyDescent="0.3">
      <c r="A7" s="18" t="s">
        <v>13</v>
      </c>
      <c r="B7" s="13"/>
      <c r="C7" s="14"/>
      <c r="D7" s="14"/>
      <c r="E7" s="14"/>
      <c r="F7" s="14">
        <v>597.75</v>
      </c>
      <c r="G7" s="14"/>
      <c r="H7" s="14"/>
      <c r="I7" s="14"/>
      <c r="J7" s="14">
        <v>1187.8</v>
      </c>
      <c r="K7" s="14"/>
      <c r="L7" s="14">
        <v>-78</v>
      </c>
      <c r="M7" s="14"/>
      <c r="N7" s="14"/>
      <c r="O7" s="12">
        <f t="shared" si="0"/>
        <v>1707.55</v>
      </c>
      <c r="P7" s="12">
        <f t="shared" si="1"/>
        <v>0</v>
      </c>
      <c r="Q7" s="65"/>
      <c r="R7" s="65"/>
    </row>
    <row r="8" spans="1:19" ht="18.75" x14ac:dyDescent="0.3">
      <c r="A8" s="18" t="s">
        <v>14</v>
      </c>
      <c r="B8" s="13">
        <v>276</v>
      </c>
      <c r="C8" s="14"/>
      <c r="D8" s="14"/>
      <c r="E8" s="14"/>
      <c r="F8" s="14"/>
      <c r="G8" s="14"/>
      <c r="H8" s="14"/>
      <c r="I8" s="14"/>
      <c r="J8" s="14">
        <v>795</v>
      </c>
      <c r="K8" s="14"/>
      <c r="L8" s="14"/>
      <c r="M8" s="14"/>
      <c r="N8" s="14"/>
      <c r="O8" s="12">
        <f t="shared" si="0"/>
        <v>1071</v>
      </c>
      <c r="P8" s="12">
        <f t="shared" si="1"/>
        <v>0</v>
      </c>
      <c r="Q8" s="142">
        <f>O8*0.75</f>
        <v>803.25</v>
      </c>
      <c r="R8" s="142">
        <f t="shared" ref="R8:R18" si="2">O8-Q8</f>
        <v>267.75</v>
      </c>
      <c r="S8" s="143">
        <v>0.25</v>
      </c>
    </row>
    <row r="9" spans="1:19" ht="18.75" x14ac:dyDescent="0.3">
      <c r="A9" s="19" t="s">
        <v>15</v>
      </c>
      <c r="B9" s="13"/>
      <c r="C9" s="14"/>
      <c r="D9" s="14">
        <v>473.45</v>
      </c>
      <c r="E9" s="14"/>
      <c r="F9" s="14"/>
      <c r="G9" s="14"/>
      <c r="H9" s="14">
        <v>825.55</v>
      </c>
      <c r="I9" s="14"/>
      <c r="J9" s="14">
        <v>443.85</v>
      </c>
      <c r="K9" s="14"/>
      <c r="L9" s="14">
        <f>156</f>
        <v>156</v>
      </c>
      <c r="M9" s="14"/>
      <c r="N9" s="14">
        <f>153.6+291.6</f>
        <v>445.20000000000005</v>
      </c>
      <c r="O9" s="12">
        <f t="shared" si="0"/>
        <v>2344.0500000000002</v>
      </c>
      <c r="P9" s="12">
        <f t="shared" si="1"/>
        <v>0</v>
      </c>
      <c r="Q9" s="65">
        <f>O9*0.7</f>
        <v>1640.835</v>
      </c>
      <c r="R9" s="65">
        <f t="shared" si="2"/>
        <v>703.21500000000015</v>
      </c>
    </row>
    <row r="10" spans="1:19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  <c r="Q10" s="65">
        <f>O10*0.7</f>
        <v>0</v>
      </c>
      <c r="R10" s="65">
        <f t="shared" si="2"/>
        <v>0</v>
      </c>
    </row>
    <row r="11" spans="1:19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  <c r="Q11" s="65">
        <f>O11*0.7</f>
        <v>0</v>
      </c>
      <c r="R11" s="65">
        <f t="shared" si="2"/>
        <v>0</v>
      </c>
    </row>
    <row r="12" spans="1:19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>
        <v>590.20000000000005</v>
      </c>
      <c r="O12" s="12">
        <f t="shared" si="0"/>
        <v>590.20000000000005</v>
      </c>
      <c r="P12" s="12">
        <f t="shared" si="1"/>
        <v>0</v>
      </c>
      <c r="Q12" s="65"/>
      <c r="R12" s="65"/>
    </row>
    <row r="13" spans="1:19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1076.56</v>
      </c>
      <c r="K13" s="14"/>
      <c r="L13" s="14"/>
      <c r="M13" s="14"/>
      <c r="N13" s="14"/>
      <c r="O13" s="12">
        <f t="shared" si="0"/>
        <v>1076.56</v>
      </c>
      <c r="P13" s="12">
        <f t="shared" si="1"/>
        <v>0</v>
      </c>
      <c r="Q13" s="65"/>
      <c r="R13" s="65"/>
    </row>
    <row r="14" spans="1:19" ht="18.75" x14ac:dyDescent="0.3">
      <c r="A14" s="19" t="s">
        <v>20</v>
      </c>
      <c r="B14" s="13"/>
      <c r="C14" s="14"/>
      <c r="D14" s="14"/>
      <c r="E14" s="14"/>
      <c r="F14" s="14">
        <v>358.9</v>
      </c>
      <c r="G14" s="14"/>
      <c r="H14" s="14"/>
      <c r="I14" s="14"/>
      <c r="J14" s="14">
        <v>238.8</v>
      </c>
      <c r="K14" s="14"/>
      <c r="L14" s="14"/>
      <c r="M14" s="14"/>
      <c r="N14" s="14"/>
      <c r="O14" s="12">
        <f t="shared" si="0"/>
        <v>597.70000000000005</v>
      </c>
      <c r="P14" s="12">
        <f t="shared" si="1"/>
        <v>0</v>
      </c>
      <c r="Q14" s="65"/>
      <c r="R14" s="65"/>
    </row>
    <row r="15" spans="1:19" ht="18.75" x14ac:dyDescent="0.3">
      <c r="A15" s="19" t="s">
        <v>21</v>
      </c>
      <c r="B15" s="13"/>
      <c r="C15" s="14"/>
      <c r="D15" s="14">
        <v>712.96</v>
      </c>
      <c r="E15" s="14"/>
      <c r="F15" s="14"/>
      <c r="G15" s="14"/>
      <c r="H15" s="14">
        <v>560.6</v>
      </c>
      <c r="I15" s="14"/>
      <c r="J15" s="14">
        <v>51.95</v>
      </c>
      <c r="K15" s="14"/>
      <c r="L15" s="14"/>
      <c r="M15" s="14"/>
      <c r="N15" s="14"/>
      <c r="O15" s="12">
        <f t="shared" si="0"/>
        <v>1325.51</v>
      </c>
      <c r="P15" s="12">
        <f t="shared" si="1"/>
        <v>0</v>
      </c>
      <c r="Q15" s="65"/>
      <c r="R15" s="65"/>
    </row>
    <row r="16" spans="1:19" ht="18.75" x14ac:dyDescent="0.3">
      <c r="A16" s="19" t="s">
        <v>22</v>
      </c>
      <c r="B16" s="13"/>
      <c r="C16" s="14"/>
      <c r="D16" s="14">
        <v>242.49</v>
      </c>
      <c r="E16" s="14"/>
      <c r="F16" s="14"/>
      <c r="G16" s="14"/>
      <c r="H16" s="14">
        <v>469.2</v>
      </c>
      <c r="I16" s="14"/>
      <c r="J16" s="14">
        <v>228.2</v>
      </c>
      <c r="K16" s="14"/>
      <c r="L16" s="14">
        <v>411.75</v>
      </c>
      <c r="M16" s="14"/>
      <c r="N16" s="14"/>
      <c r="O16" s="12">
        <f t="shared" si="0"/>
        <v>1351.64</v>
      </c>
      <c r="P16" s="12">
        <f t="shared" si="1"/>
        <v>0</v>
      </c>
      <c r="Q16" s="142">
        <f>O16*0.8</f>
        <v>1081.3120000000001</v>
      </c>
      <c r="R16" s="142">
        <f t="shared" si="2"/>
        <v>270.32799999999997</v>
      </c>
      <c r="S16" s="54">
        <v>0.2</v>
      </c>
    </row>
    <row r="17" spans="1:19" ht="18.75" x14ac:dyDescent="0.3">
      <c r="A17" s="18" t="s">
        <v>23</v>
      </c>
      <c r="B17" s="13"/>
      <c r="C17" s="14"/>
      <c r="D17" s="14">
        <v>363.95</v>
      </c>
      <c r="E17" s="14"/>
      <c r="F17" s="14"/>
      <c r="G17" s="14"/>
      <c r="H17" s="14"/>
      <c r="I17" s="14"/>
      <c r="J17" s="14">
        <v>92.8</v>
      </c>
      <c r="K17" s="14"/>
      <c r="L17" s="14">
        <v>512</v>
      </c>
      <c r="M17" s="14"/>
      <c r="N17" s="14">
        <v>678.2</v>
      </c>
      <c r="O17" s="12">
        <f t="shared" si="0"/>
        <v>1646.95</v>
      </c>
      <c r="P17" s="12">
        <f t="shared" si="1"/>
        <v>0</v>
      </c>
      <c r="Q17" s="65">
        <f>O17*0.8</f>
        <v>1317.5600000000002</v>
      </c>
      <c r="R17" s="65">
        <f t="shared" si="2"/>
        <v>329.38999999999987</v>
      </c>
      <c r="S17" s="54">
        <v>0.2</v>
      </c>
    </row>
    <row r="18" spans="1:19" ht="18.75" x14ac:dyDescent="0.3">
      <c r="A18" s="18" t="s">
        <v>24</v>
      </c>
      <c r="B18" s="13"/>
      <c r="C18" s="14"/>
      <c r="D18" s="14"/>
      <c r="E18" s="14"/>
      <c r="F18" s="14">
        <v>670.75</v>
      </c>
      <c r="G18" s="14"/>
      <c r="H18" s="14"/>
      <c r="I18" s="14"/>
      <c r="J18" s="14">
        <v>1275.0999999999999</v>
      </c>
      <c r="K18" s="14"/>
      <c r="L18" s="14"/>
      <c r="M18" s="14"/>
      <c r="N18" s="14"/>
      <c r="O18" s="12">
        <f t="shared" si="0"/>
        <v>1945.85</v>
      </c>
      <c r="P18" s="12">
        <f t="shared" si="1"/>
        <v>0</v>
      </c>
      <c r="Q18" s="142">
        <f>O18*0.75</f>
        <v>1459.3874999999998</v>
      </c>
      <c r="R18" s="142">
        <f t="shared" si="2"/>
        <v>486.46250000000009</v>
      </c>
      <c r="S18" s="143">
        <v>0.25</v>
      </c>
    </row>
    <row r="19" spans="1:19" ht="18.75" x14ac:dyDescent="0.3">
      <c r="A19" s="20" t="s">
        <v>247</v>
      </c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>
        <v>390</v>
      </c>
      <c r="M19" s="14"/>
      <c r="N19" s="14"/>
      <c r="O19" s="12">
        <f t="shared" si="0"/>
        <v>390</v>
      </c>
      <c r="P19" s="12">
        <f t="shared" si="1"/>
        <v>0</v>
      </c>
      <c r="Q19" s="65"/>
      <c r="R19" s="65"/>
    </row>
    <row r="20" spans="1:19" ht="18.75" x14ac:dyDescent="0.3">
      <c r="A20" s="20" t="s">
        <v>246</v>
      </c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>
        <v>130</v>
      </c>
      <c r="M20" s="14"/>
      <c r="N20" s="14"/>
      <c r="O20" s="12">
        <f t="shared" si="0"/>
        <v>130</v>
      </c>
      <c r="P20" s="12">
        <f t="shared" si="1"/>
        <v>0</v>
      </c>
      <c r="Q20" s="65"/>
      <c r="R20" s="65"/>
    </row>
    <row r="21" spans="1:19" ht="18.75" x14ac:dyDescent="0.3">
      <c r="A21" s="20" t="s">
        <v>262</v>
      </c>
      <c r="B21" s="15">
        <v>459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459</v>
      </c>
      <c r="P21" s="12">
        <f t="shared" si="1"/>
        <v>0</v>
      </c>
      <c r="Q21" s="65"/>
      <c r="R21" s="65"/>
    </row>
    <row r="22" spans="1:19" ht="18.75" x14ac:dyDescent="0.3">
      <c r="A22" s="20" t="s">
        <v>263</v>
      </c>
      <c r="B22" s="15">
        <v>594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594</v>
      </c>
      <c r="P22" s="12">
        <f t="shared" si="1"/>
        <v>0</v>
      </c>
      <c r="Q22" s="65"/>
      <c r="R22" s="65"/>
    </row>
    <row r="23" spans="1:19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>
        <v>186.5</v>
      </c>
      <c r="M23" s="17"/>
      <c r="N23" s="17"/>
      <c r="O23" s="49">
        <f t="shared" si="0"/>
        <v>186.5</v>
      </c>
      <c r="P23" s="49">
        <f t="shared" si="1"/>
        <v>0</v>
      </c>
      <c r="Q23" s="65"/>
      <c r="R23" s="65"/>
    </row>
    <row r="24" spans="1:19" x14ac:dyDescent="0.25">
      <c r="A24" t="s">
        <v>54</v>
      </c>
      <c r="B24" s="21">
        <f>SUM(B4:B23)</f>
        <v>1329</v>
      </c>
      <c r="C24" s="21">
        <f t="shared" ref="C24:P24" si="3">SUM(C4:C23)</f>
        <v>0</v>
      </c>
      <c r="D24" s="21">
        <f t="shared" si="3"/>
        <v>3998.2</v>
      </c>
      <c r="E24" s="21">
        <f t="shared" si="3"/>
        <v>0</v>
      </c>
      <c r="F24" s="21">
        <f t="shared" si="3"/>
        <v>1627.4</v>
      </c>
      <c r="G24" s="21">
        <f t="shared" si="3"/>
        <v>0</v>
      </c>
      <c r="H24" s="21">
        <f t="shared" si="3"/>
        <v>3295.6499999999996</v>
      </c>
      <c r="I24" s="21">
        <f t="shared" si="3"/>
        <v>0</v>
      </c>
      <c r="J24" s="21">
        <f t="shared" si="3"/>
        <v>5899.26</v>
      </c>
      <c r="K24" s="21">
        <f t="shared" si="3"/>
        <v>0</v>
      </c>
      <c r="L24" s="21">
        <f t="shared" si="3"/>
        <v>2079.85</v>
      </c>
      <c r="M24" s="21">
        <f t="shared" si="3"/>
        <v>0</v>
      </c>
      <c r="N24" s="21">
        <f t="shared" si="3"/>
        <v>1954.45</v>
      </c>
      <c r="O24" s="50">
        <f t="shared" si="3"/>
        <v>20183.810000000001</v>
      </c>
      <c r="P24" s="50">
        <f t="shared" si="3"/>
        <v>0</v>
      </c>
    </row>
    <row r="25" spans="1:19" ht="15.75" thickBot="1" x14ac:dyDescent="0.3">
      <c r="N25" t="s">
        <v>55</v>
      </c>
      <c r="O25" s="50">
        <f>SUM(B24+D24+F24+H24+J24+L24+N24)</f>
        <v>20183.810000000001</v>
      </c>
      <c r="P25" s="50">
        <f>SUM(C24+E24+G24+I24+K24+M24)</f>
        <v>0</v>
      </c>
    </row>
    <row r="26" spans="1:19" ht="15.75" thickBot="1" x14ac:dyDescent="0.3">
      <c r="A26" t="s">
        <v>27</v>
      </c>
      <c r="B26" s="22">
        <f>O24</f>
        <v>20183.810000000001</v>
      </c>
      <c r="D26" s="5" t="s">
        <v>30</v>
      </c>
      <c r="E26" s="47">
        <f>B50*1.5</f>
        <v>23018.043599999997</v>
      </c>
      <c r="R26" s="65">
        <f>SUM(R4:R23)</f>
        <v>2948.058</v>
      </c>
    </row>
    <row r="27" spans="1:19" x14ac:dyDescent="0.25">
      <c r="A27" t="s">
        <v>28</v>
      </c>
      <c r="B27" s="22">
        <f>P24</f>
        <v>0</v>
      </c>
    </row>
    <row r="28" spans="1:19" x14ac:dyDescent="0.25">
      <c r="A28" s="3" t="s">
        <v>29</v>
      </c>
    </row>
    <row r="30" spans="1:19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9" x14ac:dyDescent="0.25">
      <c r="D31" s="37"/>
      <c r="H31" s="37"/>
      <c r="L31" s="37"/>
    </row>
    <row r="32" spans="1:19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20183.810000000001</v>
      </c>
      <c r="H32" s="37"/>
      <c r="I32" s="26" t="s">
        <v>50</v>
      </c>
      <c r="J32" s="44">
        <f>'Sem 18'!J32+'Sem 19'!F32</f>
        <v>73976.17</v>
      </c>
      <c r="L32" s="37"/>
      <c r="M32" s="27" t="s">
        <v>50</v>
      </c>
      <c r="N32" s="45">
        <f>J32</f>
        <v>73976.17</v>
      </c>
    </row>
    <row r="33" spans="1:15" x14ac:dyDescent="0.25">
      <c r="A33" t="s">
        <v>33</v>
      </c>
      <c r="B33" s="28">
        <f>IF(C33="","",(C33*1.16)+3.75+10)</f>
        <v>4566.1583999999993</v>
      </c>
      <c r="C33" s="34">
        <v>3924.49</v>
      </c>
      <c r="D33" s="37"/>
      <c r="E33" s="25" t="s">
        <v>51</v>
      </c>
      <c r="F33" s="42">
        <f>B50</f>
        <v>15345.362399999998</v>
      </c>
      <c r="H33" s="37"/>
      <c r="I33" s="26" t="s">
        <v>51</v>
      </c>
      <c r="J33" s="44">
        <f>'Sem 18'!J33+'Sem 19'!F33</f>
        <v>52026.567599999995</v>
      </c>
      <c r="L33" s="37"/>
      <c r="M33" s="27" t="s">
        <v>51</v>
      </c>
      <c r="N33" s="45">
        <f>J33</f>
        <v>52026.567599999995</v>
      </c>
    </row>
    <row r="34" spans="1:15" x14ac:dyDescent="0.25">
      <c r="A34" t="s">
        <v>34</v>
      </c>
      <c r="B34" s="29">
        <f>IF(C34="","",(C34*1.16)+3.75+10)</f>
        <v>3651.3591999999994</v>
      </c>
      <c r="C34" s="35">
        <v>3135.87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>
        <f>IF(C35="","",(C35*1.16)+3.75+10)</f>
        <v>3431.3187999999996</v>
      </c>
      <c r="C35" s="36">
        <v>2946.18</v>
      </c>
      <c r="D35" s="37"/>
      <c r="E35" s="25" t="s">
        <v>52</v>
      </c>
      <c r="F35" s="42">
        <f>F32-F33</f>
        <v>4838.4476000000031</v>
      </c>
      <c r="H35" s="37"/>
      <c r="I35" s="26" t="s">
        <v>52</v>
      </c>
      <c r="J35" s="44">
        <f>'Sem 18'!J35+'Sem 19'!F35</f>
        <v>21949.602400000011</v>
      </c>
      <c r="L35" s="37"/>
      <c r="M35" s="27" t="s">
        <v>52</v>
      </c>
      <c r="N35" s="45">
        <f>J35</f>
        <v>21949.602400000011</v>
      </c>
    </row>
    <row r="36" spans="1:15" x14ac:dyDescent="0.25">
      <c r="A36" t="s">
        <v>36</v>
      </c>
      <c r="B36" s="31">
        <v>1552.8</v>
      </c>
      <c r="D36" s="37"/>
      <c r="E36" s="25" t="s">
        <v>53</v>
      </c>
      <c r="F36" s="43">
        <f>(F32-F33)/F33</f>
        <v>0.31530357341055715</v>
      </c>
      <c r="H36" s="37"/>
      <c r="I36" s="26" t="s">
        <v>53</v>
      </c>
      <c r="J36" s="52">
        <f>(J32-J33)/J33</f>
        <v>0.42189218725242228</v>
      </c>
      <c r="L36" s="37"/>
      <c r="M36" s="27" t="s">
        <v>53</v>
      </c>
      <c r="N36" s="53">
        <f>(N32-N33)/N33</f>
        <v>0.42189218725242228</v>
      </c>
    </row>
    <row r="37" spans="1:15" x14ac:dyDescent="0.25">
      <c r="A37" t="s">
        <v>37</v>
      </c>
      <c r="B37" s="31">
        <v>1948.15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24.21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>
        <v>63.21</v>
      </c>
      <c r="O42" s="125"/>
    </row>
    <row r="43" spans="1:15" x14ac:dyDescent="0.25">
      <c r="A43" t="s">
        <v>40</v>
      </c>
      <c r="B43" s="21">
        <f>N49</f>
        <v>195.57600000000002</v>
      </c>
      <c r="D43" s="37"/>
      <c r="H43" s="37"/>
      <c r="L43" s="37"/>
      <c r="M43" s="124"/>
      <c r="N43" s="129">
        <v>52.7</v>
      </c>
      <c r="O43" s="125"/>
    </row>
    <row r="44" spans="1:15" x14ac:dyDescent="0.25">
      <c r="A44" s="6"/>
      <c r="B44" s="21"/>
      <c r="D44" s="37"/>
      <c r="H44" s="37"/>
      <c r="L44" s="37"/>
      <c r="M44" s="124"/>
      <c r="N44" s="129">
        <v>26.35</v>
      </c>
      <c r="O44" s="125"/>
    </row>
    <row r="45" spans="1:15" x14ac:dyDescent="0.25">
      <c r="A45" s="6"/>
      <c r="B45" s="21"/>
      <c r="D45" s="37"/>
      <c r="H45" s="37"/>
      <c r="L45" s="37"/>
      <c r="M45" s="124"/>
      <c r="N45" s="129">
        <v>78</v>
      </c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4417.18</v>
      </c>
      <c r="H48" s="37"/>
      <c r="I48" s="38" t="s">
        <v>61</v>
      </c>
      <c r="J48" s="38"/>
      <c r="K48" s="39">
        <f>F32</f>
        <v>20183.810000000001</v>
      </c>
      <c r="L48" s="37"/>
      <c r="M48" s="124" t="s">
        <v>219</v>
      </c>
      <c r="N48" s="129">
        <f>SUM(N41:N47)</f>
        <v>244.47</v>
      </c>
      <c r="O48" s="125"/>
    </row>
    <row r="49" spans="1:15" ht="15.75" thickBot="1" x14ac:dyDescent="0.3">
      <c r="B49" s="21"/>
      <c r="D49" s="37"/>
      <c r="G49" s="40">
        <v>4244.28</v>
      </c>
      <c r="H49" s="37"/>
      <c r="L49" s="37"/>
      <c r="M49" s="124" t="s">
        <v>220</v>
      </c>
      <c r="N49" s="129">
        <f>N48*0.8</f>
        <v>195.57600000000002</v>
      </c>
      <c r="O49" s="125"/>
    </row>
    <row r="50" spans="1:15" ht="15.75" thickBot="1" x14ac:dyDescent="0.3">
      <c r="A50" t="s">
        <v>42</v>
      </c>
      <c r="B50" s="33">
        <f>SUM(B33:B48)</f>
        <v>15345.362399999998</v>
      </c>
      <c r="D50" s="37"/>
      <c r="G50" s="40">
        <v>3707.9</v>
      </c>
      <c r="H50" s="37"/>
      <c r="I50" t="s">
        <v>62</v>
      </c>
      <c r="J50">
        <f>12775.12+594+1030.8+2405</f>
        <v>16804.919999999998</v>
      </c>
      <c r="K50" s="41">
        <f>J50/K48</f>
        <v>0.83259404443462348</v>
      </c>
      <c r="L50" s="37"/>
      <c r="M50" s="124" t="s">
        <v>221</v>
      </c>
      <c r="N50" s="129">
        <f>N48-N49</f>
        <v>48.893999999999977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12369.359999999999</v>
      </c>
      <c r="H51" s="37"/>
      <c r="I51" t="s">
        <v>63</v>
      </c>
      <c r="J51" s="22">
        <f>K48-J50</f>
        <v>3378.8900000000031</v>
      </c>
      <c r="K51" s="41">
        <f>J51/K48</f>
        <v>0.16740595556537655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1666.65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B37*16%</f>
        <v>311.70400000000001</v>
      </c>
      <c r="D54" s="37"/>
      <c r="E54" t="s">
        <v>59</v>
      </c>
      <c r="G54" s="40"/>
      <c r="H54" s="37" t="s">
        <v>264</v>
      </c>
      <c r="L54" s="37"/>
    </row>
    <row r="55" spans="1:15" ht="15.75" thickBot="1" x14ac:dyDescent="0.3">
      <c r="D55" s="37"/>
      <c r="E55" t="s">
        <v>60</v>
      </c>
      <c r="G55" s="40">
        <v>2573.9</v>
      </c>
      <c r="H55" s="37"/>
      <c r="L55" s="37"/>
    </row>
    <row r="56" spans="1:15" ht="15.75" thickBot="1" x14ac:dyDescent="0.3">
      <c r="A56" t="s">
        <v>44</v>
      </c>
      <c r="B56" s="33"/>
      <c r="D56" s="37"/>
      <c r="H56" s="37"/>
      <c r="L56" s="37"/>
    </row>
    <row r="57" spans="1:15" ht="15.75" thickBot="1" x14ac:dyDescent="0.3">
      <c r="A57" t="s">
        <v>45</v>
      </c>
      <c r="B57" s="21">
        <f>'Sem 18'!B56</f>
        <v>32620.85</v>
      </c>
      <c r="M57" t="s">
        <v>236</v>
      </c>
      <c r="N57" s="65">
        <f>'Sem 14'!N54+N35</f>
        <v>36409.828800000018</v>
      </c>
    </row>
    <row r="58" spans="1:15" ht="16.5" thickBot="1" x14ac:dyDescent="0.3">
      <c r="B58" s="21"/>
      <c r="E58" t="s">
        <v>65</v>
      </c>
      <c r="G58" s="48">
        <f>SUM(G48:G50)+SUM(G53:G55)</f>
        <v>16609.91</v>
      </c>
      <c r="M58" t="s">
        <v>209</v>
      </c>
      <c r="N58" s="65">
        <f>FRAIS!$G$44*_xlfn.ISOWEEKNUM($L$3)</f>
        <v>17782.322884615383</v>
      </c>
    </row>
    <row r="59" spans="1:15" x14ac:dyDescent="0.25">
      <c r="A59" t="s">
        <v>46</v>
      </c>
      <c r="B59" s="21"/>
    </row>
    <row r="60" spans="1:15" x14ac:dyDescent="0.25">
      <c r="M60" t="s">
        <v>210</v>
      </c>
      <c r="N60" s="65">
        <f>N57-N58</f>
        <v>18627.505915384634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7" tint="0.59999389629810485"/>
    <pageSetUpPr fitToPage="1"/>
  </sheetPr>
  <dimension ref="A1:P60"/>
  <sheetViews>
    <sheetView topLeftCell="A13" workbookViewId="0">
      <selection activeCell="A53" sqref="A53:B54"/>
    </sheetView>
  </sheetViews>
  <sheetFormatPr baseColWidth="10" defaultRowHeight="15" x14ac:dyDescent="0.25"/>
  <cols>
    <col min="1" max="1" width="22.7109375" customWidth="1"/>
    <col min="2" max="2" width="1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  <col min="16" max="16" width="12.28515625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43234</v>
      </c>
      <c r="C3" s="10"/>
      <c r="D3" s="9">
        <v>43235</v>
      </c>
      <c r="E3" s="10"/>
      <c r="F3" s="9">
        <v>43236</v>
      </c>
      <c r="G3" s="10"/>
      <c r="H3" s="9">
        <v>43237</v>
      </c>
      <c r="I3" s="10"/>
      <c r="J3" s="9">
        <v>43238</v>
      </c>
      <c r="K3" s="10"/>
      <c r="L3" s="9">
        <v>43239</v>
      </c>
      <c r="M3" s="10"/>
      <c r="N3" s="9">
        <v>43240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>
        <v>381.2</v>
      </c>
      <c r="I4" s="12">
        <f>694.09+2243.45+404.07</f>
        <v>3341.61</v>
      </c>
      <c r="J4" s="12"/>
      <c r="K4" s="12"/>
      <c r="L4" s="12"/>
      <c r="M4" s="12"/>
      <c r="N4" s="12"/>
      <c r="O4" s="12">
        <f>B4+D4+F4+H4+J4+L4+N4</f>
        <v>381.2</v>
      </c>
      <c r="P4" s="12">
        <f>C4+E4+G4+I4+K4+M4</f>
        <v>3341.61</v>
      </c>
    </row>
    <row r="5" spans="1:16" ht="18.75" x14ac:dyDescent="0.3">
      <c r="A5" s="18" t="s">
        <v>11</v>
      </c>
      <c r="B5" s="13"/>
      <c r="C5" s="14"/>
      <c r="D5" s="14">
        <v>102.8</v>
      </c>
      <c r="E5" s="14">
        <v>1181.55</v>
      </c>
      <c r="F5" s="14"/>
      <c r="G5" s="14"/>
      <c r="H5" s="14">
        <v>104.5</v>
      </c>
      <c r="I5" s="14"/>
      <c r="J5" s="14"/>
      <c r="K5" s="14"/>
      <c r="L5" s="14"/>
      <c r="M5" s="14"/>
      <c r="N5" s="14"/>
      <c r="O5" s="12">
        <f t="shared" ref="O5:O23" si="0">B5+D5+F5+H5+J5+L5+N5</f>
        <v>207.3</v>
      </c>
      <c r="P5" s="12">
        <f t="shared" ref="P5:P23" si="1">C5+E5+G5+I5+K5+M5</f>
        <v>1181.55</v>
      </c>
    </row>
    <row r="6" spans="1:16" ht="18.75" x14ac:dyDescent="0.3">
      <c r="A6" s="18" t="s">
        <v>12</v>
      </c>
      <c r="B6" s="13"/>
      <c r="C6" s="14"/>
      <c r="D6" s="14">
        <v>202.9</v>
      </c>
      <c r="E6" s="14">
        <f>128.79+947.78</f>
        <v>1076.57</v>
      </c>
      <c r="F6" s="14"/>
      <c r="G6" s="14"/>
      <c r="H6" s="14">
        <v>258</v>
      </c>
      <c r="I6" s="14"/>
      <c r="J6" s="14"/>
      <c r="K6" s="14"/>
      <c r="L6" s="14"/>
      <c r="M6" s="14"/>
      <c r="N6" s="14"/>
      <c r="O6" s="12">
        <f t="shared" si="0"/>
        <v>460.9</v>
      </c>
      <c r="P6" s="12">
        <f t="shared" si="1"/>
        <v>1076.57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435.9</v>
      </c>
      <c r="K7" s="14">
        <f>462.05+196.1+1810</f>
        <v>2468.15</v>
      </c>
      <c r="L7" s="14"/>
      <c r="M7" s="14"/>
      <c r="N7" s="14"/>
      <c r="O7" s="12">
        <f t="shared" si="0"/>
        <v>435.9</v>
      </c>
      <c r="P7" s="12">
        <f t="shared" si="1"/>
        <v>2468.15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359.4</v>
      </c>
      <c r="I9" s="14">
        <f>1806.88+254.45+381.28</f>
        <v>2442.6099999999997</v>
      </c>
      <c r="J9" s="14"/>
      <c r="K9" s="14"/>
      <c r="L9" s="14"/>
      <c r="M9" s="14"/>
      <c r="N9" s="14"/>
      <c r="O9" s="12">
        <f t="shared" si="0"/>
        <v>359.4</v>
      </c>
      <c r="P9" s="12">
        <f t="shared" si="1"/>
        <v>2442.6099999999997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369.05</v>
      </c>
      <c r="K13" s="14"/>
      <c r="L13" s="14"/>
      <c r="M13" s="14"/>
      <c r="N13" s="14"/>
      <c r="O13" s="12">
        <f t="shared" si="0"/>
        <v>369.05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40</v>
      </c>
      <c r="G14" s="14">
        <f>288.64+633.56</f>
        <v>922.19999999999993</v>
      </c>
      <c r="H14" s="14"/>
      <c r="I14" s="14"/>
      <c r="J14" s="14"/>
      <c r="K14" s="14"/>
      <c r="L14" s="14"/>
      <c r="M14" s="14"/>
      <c r="N14" s="14"/>
      <c r="O14" s="12">
        <f t="shared" si="0"/>
        <v>40</v>
      </c>
      <c r="P14" s="12">
        <f t="shared" si="1"/>
        <v>922.19999999999993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274.25</v>
      </c>
      <c r="I15" s="14">
        <v>1414.52</v>
      </c>
      <c r="J15" s="14"/>
      <c r="K15" s="14"/>
      <c r="L15" s="14"/>
      <c r="M15" s="14"/>
      <c r="N15" s="14"/>
      <c r="O15" s="12">
        <f t="shared" si="0"/>
        <v>274.25</v>
      </c>
      <c r="P15" s="12">
        <f t="shared" si="1"/>
        <v>1414.52</v>
      </c>
    </row>
    <row r="16" spans="1:16" ht="18.75" x14ac:dyDescent="0.3">
      <c r="A16" s="19" t="s">
        <v>22</v>
      </c>
      <c r="B16" s="13"/>
      <c r="C16" s="14"/>
      <c r="D16" s="14">
        <v>45</v>
      </c>
      <c r="E16" s="14"/>
      <c r="F16" s="14"/>
      <c r="G16" s="14"/>
      <c r="H16" s="14">
        <v>164</v>
      </c>
      <c r="I16" s="14"/>
      <c r="J16" s="14"/>
      <c r="K16" s="14"/>
      <c r="L16" s="14"/>
      <c r="M16" s="14"/>
      <c r="N16" s="14"/>
      <c r="O16" s="12">
        <f t="shared" si="0"/>
        <v>209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>
        <v>31</v>
      </c>
      <c r="E17" s="14"/>
      <c r="F17" s="14"/>
      <c r="G17" s="14"/>
      <c r="H17" s="14">
        <v>167.5</v>
      </c>
      <c r="I17" s="14"/>
      <c r="J17" s="14"/>
      <c r="K17" s="14"/>
      <c r="L17" s="14"/>
      <c r="M17" s="14"/>
      <c r="N17" s="14"/>
      <c r="O17" s="12">
        <f t="shared" si="0"/>
        <v>198.5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>
        <v>293.8</v>
      </c>
      <c r="K18" s="14">
        <v>311.43</v>
      </c>
      <c r="L18" s="14"/>
      <c r="M18" s="14"/>
      <c r="N18" s="14"/>
      <c r="O18" s="12">
        <f t="shared" si="0"/>
        <v>293.8</v>
      </c>
      <c r="P18" s="12">
        <f t="shared" si="1"/>
        <v>311.43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381.7</v>
      </c>
      <c r="E24" s="21">
        <f t="shared" si="2"/>
        <v>2258.12</v>
      </c>
      <c r="F24" s="21">
        <f t="shared" si="2"/>
        <v>40</v>
      </c>
      <c r="G24" s="21">
        <f t="shared" si="2"/>
        <v>922.19999999999993</v>
      </c>
      <c r="H24" s="21">
        <f t="shared" si="2"/>
        <v>1708.85</v>
      </c>
      <c r="I24" s="21">
        <f t="shared" si="2"/>
        <v>7198.74</v>
      </c>
      <c r="J24" s="21">
        <f t="shared" si="2"/>
        <v>1098.75</v>
      </c>
      <c r="K24" s="21">
        <f t="shared" si="2"/>
        <v>2779.58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3229.3000000000006</v>
      </c>
      <c r="P24" s="50">
        <f t="shared" si="2"/>
        <v>13158.64</v>
      </c>
    </row>
    <row r="25" spans="1:16" ht="15.75" thickBot="1" x14ac:dyDescent="0.3">
      <c r="N25" t="s">
        <v>55</v>
      </c>
      <c r="O25" s="50">
        <f>SUM(B24+D24+F24+H24+J24+L24+N24)</f>
        <v>3229.2999999999997</v>
      </c>
      <c r="P25" s="50">
        <f>SUM(C24+E24+G24+I24+K24+M24)</f>
        <v>13158.64</v>
      </c>
    </row>
    <row r="26" spans="1:16" ht="15.75" thickBot="1" x14ac:dyDescent="0.3">
      <c r="A26" t="s">
        <v>27</v>
      </c>
      <c r="B26" s="22">
        <f>O24</f>
        <v>3229.3000000000006</v>
      </c>
      <c r="D26" s="5" t="s">
        <v>30</v>
      </c>
      <c r="E26" s="47">
        <f>B50*1.5</f>
        <v>4253.3490000000002</v>
      </c>
    </row>
    <row r="27" spans="1:16" x14ac:dyDescent="0.25">
      <c r="A27" t="s">
        <v>28</v>
      </c>
      <c r="B27" s="22">
        <f>P24</f>
        <v>13158.64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3229.3000000000006</v>
      </c>
      <c r="H32" s="37"/>
      <c r="I32" s="26" t="s">
        <v>50</v>
      </c>
      <c r="J32" s="44">
        <f>'Sem 19'!J32+'Sem 20'!F32</f>
        <v>77205.47</v>
      </c>
      <c r="L32" s="37"/>
      <c r="M32" s="27" t="s">
        <v>50</v>
      </c>
      <c r="N32" s="45">
        <f>'Sem 19'!N32+'Sem 19'!F32</f>
        <v>94159.98</v>
      </c>
    </row>
    <row r="33" spans="1:15" x14ac:dyDescent="0.25">
      <c r="A33" t="s">
        <v>33</v>
      </c>
      <c r="B33" s="28">
        <f>IF(C33="","",(C33*1.16)+3.75+10)</f>
        <v>1007.9395999999998</v>
      </c>
      <c r="C33" s="34">
        <v>857.06</v>
      </c>
      <c r="D33" s="37"/>
      <c r="E33" s="25" t="s">
        <v>51</v>
      </c>
      <c r="F33" s="42">
        <f>B50</f>
        <v>2835.5659999999998</v>
      </c>
      <c r="H33" s="37"/>
      <c r="I33" s="26" t="s">
        <v>51</v>
      </c>
      <c r="J33" s="44">
        <f>'Sem 19'!J33+'Sem 20'!F33</f>
        <v>54862.133599999994</v>
      </c>
      <c r="L33" s="37"/>
      <c r="M33" s="27" t="s">
        <v>51</v>
      </c>
      <c r="N33" s="45">
        <f>'Sem 19'!N33+'Sem 19'!F33</f>
        <v>67371.929999999993</v>
      </c>
    </row>
    <row r="34" spans="1:15" x14ac:dyDescent="0.25">
      <c r="A34" t="s">
        <v>34</v>
      </c>
      <c r="B34" s="29">
        <f>IF(C34="","",(C34*1.16)+3.75+10)</f>
        <v>938.02639999999985</v>
      </c>
      <c r="C34" s="35">
        <v>796.79</v>
      </c>
      <c r="D34" s="37"/>
      <c r="E34" s="25"/>
      <c r="F34" s="25"/>
      <c r="H34" s="37"/>
      <c r="I34" s="26"/>
      <c r="J34" s="44"/>
      <c r="L34" s="37"/>
      <c r="M34" s="27"/>
      <c r="N34" s="45">
        <f>'Sem 19'!N34+'Sem 19'!F34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393.73400000000083</v>
      </c>
      <c r="H35" s="37"/>
      <c r="I35" s="26" t="s">
        <v>52</v>
      </c>
      <c r="J35" s="44">
        <f>J32-J33</f>
        <v>22343.336400000007</v>
      </c>
      <c r="L35" s="37"/>
      <c r="M35" s="27" t="s">
        <v>52</v>
      </c>
      <c r="N35" s="45">
        <f>N32-N33</f>
        <v>26788.050000000003</v>
      </c>
    </row>
    <row r="36" spans="1:15" x14ac:dyDescent="0.25">
      <c r="A36" t="s">
        <v>36</v>
      </c>
      <c r="B36" s="31">
        <v>642.70000000000005</v>
      </c>
      <c r="D36" s="37"/>
      <c r="E36" s="25" t="s">
        <v>53</v>
      </c>
      <c r="F36" s="43">
        <f>(F32-F33)/F33</f>
        <v>0.13885552302432771</v>
      </c>
      <c r="H36" s="37"/>
      <c r="I36" s="26" t="s">
        <v>53</v>
      </c>
      <c r="J36" s="52">
        <f>(J32-J33)/J33</f>
        <v>0.40726335149313275</v>
      </c>
      <c r="L36" s="37"/>
      <c r="M36" s="27" t="s">
        <v>53</v>
      </c>
      <c r="N36" s="53">
        <f>(N32-N33)/N33</f>
        <v>0.39761440706834444</v>
      </c>
    </row>
    <row r="37" spans="1:15" x14ac:dyDescent="0.25">
      <c r="A37" t="s">
        <v>37</v>
      </c>
      <c r="B37" s="31">
        <v>246.9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N49</f>
        <v>0</v>
      </c>
      <c r="D43" s="37"/>
      <c r="E43" t="s">
        <v>134</v>
      </c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J44" t="s">
        <v>266</v>
      </c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1586.36</v>
      </c>
      <c r="H48" s="37"/>
      <c r="I48" s="38" t="s">
        <v>61</v>
      </c>
      <c r="J48" s="38"/>
      <c r="K48" s="39">
        <f>F32</f>
        <v>3229.3000000000006</v>
      </c>
      <c r="L48" s="37"/>
      <c r="M48" s="124" t="s">
        <v>219</v>
      </c>
      <c r="N48" s="129">
        <f>SUM(N41:N47)</f>
        <v>0</v>
      </c>
      <c r="O48" s="125"/>
    </row>
    <row r="49" spans="1:15" ht="15.75" thickBot="1" x14ac:dyDescent="0.3">
      <c r="B49" s="21"/>
      <c r="D49" s="37"/>
      <c r="G49" s="40">
        <v>463.76</v>
      </c>
      <c r="H49" s="37"/>
      <c r="L49" s="37"/>
      <c r="M49" s="124" t="s">
        <v>220</v>
      </c>
      <c r="N49" s="129">
        <f>N48*0.8</f>
        <v>0</v>
      </c>
      <c r="O49" s="125"/>
    </row>
    <row r="50" spans="1:15" ht="15.75" thickBot="1" x14ac:dyDescent="0.3">
      <c r="A50" t="s">
        <v>42</v>
      </c>
      <c r="B50" s="33">
        <f>SUM(B33:B48)</f>
        <v>2835.5659999999998</v>
      </c>
      <c r="D50" s="37"/>
      <c r="G50" s="40"/>
      <c r="H50" s="37"/>
      <c r="I50" t="s">
        <v>62</v>
      </c>
      <c r="J50" s="21">
        <v>3229.3</v>
      </c>
      <c r="K50" s="41">
        <f>J50/K48</f>
        <v>0.99999999999999989</v>
      </c>
      <c r="L50" s="37"/>
      <c r="M50" s="124" t="s">
        <v>221</v>
      </c>
      <c r="N50" s="129">
        <f>N48-N49</f>
        <v>0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2050.12</v>
      </c>
      <c r="H51" s="37"/>
      <c r="I51" t="s">
        <v>63</v>
      </c>
      <c r="J51" s="22">
        <f>K48-J50</f>
        <v>0</v>
      </c>
      <c r="K51" s="41">
        <f>J51/K48</f>
        <v>0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331.08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B37*16%</f>
        <v>39.504000000000005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282.49</v>
      </c>
      <c r="H55" s="37"/>
      <c r="L55" s="37"/>
    </row>
    <row r="56" spans="1:15" ht="15.75" thickBot="1" x14ac:dyDescent="0.3">
      <c r="A56" t="s">
        <v>44</v>
      </c>
      <c r="B56" s="33">
        <v>11516.44</v>
      </c>
      <c r="D56" s="37"/>
      <c r="H56" s="37"/>
      <c r="L56" s="37"/>
    </row>
    <row r="57" spans="1:15" ht="15.75" thickBot="1" x14ac:dyDescent="0.3">
      <c r="A57" t="s">
        <v>45</v>
      </c>
      <c r="B57" s="21">
        <f>'Sem 19'!B56</f>
        <v>0</v>
      </c>
      <c r="M57" t="s">
        <v>236</v>
      </c>
      <c r="N57" s="65">
        <f>'Sem 14'!N54+N35</f>
        <v>41248.276400000002</v>
      </c>
    </row>
    <row r="58" spans="1:15" ht="16.5" thickBot="1" x14ac:dyDescent="0.3">
      <c r="B58" s="21"/>
      <c r="E58" t="s">
        <v>65</v>
      </c>
      <c r="G58" s="48">
        <f>SUM(G48:G50)+SUM(G53:G55)</f>
        <v>2663.6899999999996</v>
      </c>
      <c r="M58" t="s">
        <v>209</v>
      </c>
      <c r="N58" s="65">
        <f>FRAIS!$G$44*_xlfn.ISOWEEKNUM($L$3)</f>
        <v>18718.234615384612</v>
      </c>
    </row>
    <row r="59" spans="1:15" x14ac:dyDescent="0.25">
      <c r="A59" t="s">
        <v>46</v>
      </c>
      <c r="B59" s="21"/>
    </row>
    <row r="60" spans="1:15" x14ac:dyDescent="0.25">
      <c r="M60" t="s">
        <v>210</v>
      </c>
      <c r="N60" s="65">
        <f>N57-N58</f>
        <v>22530.04178461539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7" tint="0.59999389629810485"/>
    <pageSetUpPr fitToPage="1"/>
  </sheetPr>
  <dimension ref="A1:P59"/>
  <sheetViews>
    <sheetView topLeftCell="A31" workbookViewId="0">
      <selection activeCell="N55" sqref="N55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.42578125" customWidth="1"/>
    <col min="16" max="16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43241</v>
      </c>
      <c r="C3" s="10"/>
      <c r="D3" s="9">
        <v>43242</v>
      </c>
      <c r="E3" s="10"/>
      <c r="F3" s="9">
        <v>43243</v>
      </c>
      <c r="G3" s="10"/>
      <c r="H3" s="9">
        <v>43244</v>
      </c>
      <c r="I3" s="10"/>
      <c r="J3" s="9">
        <v>43245</v>
      </c>
      <c r="K3" s="10"/>
      <c r="L3" s="9">
        <v>43246</v>
      </c>
      <c r="M3" s="10"/>
      <c r="N3" s="9">
        <v>43247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168.35</v>
      </c>
      <c r="E4" s="12"/>
      <c r="F4" s="12"/>
      <c r="G4" s="12"/>
      <c r="H4" s="12">
        <f>468.75-168.35</f>
        <v>300.39999999999998</v>
      </c>
      <c r="I4" s="12"/>
      <c r="J4" s="12"/>
      <c r="K4" s="12"/>
      <c r="L4" s="12"/>
      <c r="M4" s="12"/>
      <c r="N4" s="12"/>
      <c r="O4" s="12">
        <f>B4+D4+F4+H4+J4+L4+N4</f>
        <v>468.75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85</v>
      </c>
      <c r="I5" s="14"/>
      <c r="J5" s="14"/>
      <c r="K5" s="14"/>
      <c r="L5" s="14"/>
      <c r="M5" s="14"/>
      <c r="N5" s="14"/>
      <c r="O5" s="12">
        <f t="shared" ref="O5:O23" si="0">B5+D5+F5+H5+J5+L5+N5</f>
        <v>85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156.5</v>
      </c>
      <c r="I6" s="14">
        <v>488.55</v>
      </c>
      <c r="J6" s="14"/>
      <c r="K6" s="14"/>
      <c r="L6" s="14"/>
      <c r="M6" s="14"/>
      <c r="N6" s="14"/>
      <c r="O6" s="12">
        <f t="shared" si="0"/>
        <v>156.5</v>
      </c>
      <c r="P6" s="12">
        <f t="shared" si="1"/>
        <v>488.55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943.65</v>
      </c>
      <c r="K7" s="14">
        <v>64.61</v>
      </c>
      <c r="L7" s="14"/>
      <c r="M7" s="14"/>
      <c r="N7" s="14"/>
      <c r="O7" s="12">
        <f t="shared" si="0"/>
        <v>943.65</v>
      </c>
      <c r="P7" s="12">
        <f t="shared" si="1"/>
        <v>64.61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191.25</v>
      </c>
      <c r="I9" s="14"/>
      <c r="J9" s="14"/>
      <c r="K9" s="14"/>
      <c r="L9" s="14"/>
      <c r="M9" s="14"/>
      <c r="N9" s="14"/>
      <c r="O9" s="12">
        <f t="shared" si="0"/>
        <v>191.25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370.85</v>
      </c>
      <c r="K13" s="14"/>
      <c r="L13" s="14"/>
      <c r="M13" s="14"/>
      <c r="N13" s="14"/>
      <c r="O13" s="12">
        <f t="shared" si="0"/>
        <v>370.85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77.2</v>
      </c>
      <c r="K14" s="14">
        <f>81.83+42.4+266.8</f>
        <v>391.03</v>
      </c>
      <c r="L14" s="14"/>
      <c r="M14" s="14"/>
      <c r="N14" s="14"/>
      <c r="O14" s="12">
        <f t="shared" si="0"/>
        <v>77.2</v>
      </c>
      <c r="P14" s="12">
        <f t="shared" si="1"/>
        <v>391.03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217.95</v>
      </c>
      <c r="I15" s="14">
        <v>291.77</v>
      </c>
      <c r="J15" s="14"/>
      <c r="K15" s="14"/>
      <c r="L15" s="14"/>
      <c r="M15" s="14"/>
      <c r="N15" s="14"/>
      <c r="O15" s="12">
        <f t="shared" si="0"/>
        <v>217.95</v>
      </c>
      <c r="P15" s="12">
        <f t="shared" si="1"/>
        <v>291.77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>
        <v>169</v>
      </c>
      <c r="I16" s="14">
        <v>221.54</v>
      </c>
      <c r="J16" s="14"/>
      <c r="K16" s="14"/>
      <c r="L16" s="14"/>
      <c r="M16" s="14"/>
      <c r="N16" s="14"/>
      <c r="O16" s="12">
        <f t="shared" si="0"/>
        <v>169</v>
      </c>
      <c r="P16" s="12">
        <f t="shared" si="1"/>
        <v>221.54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>
        <v>127</v>
      </c>
      <c r="I17" s="14"/>
      <c r="J17" s="14"/>
      <c r="K17" s="14"/>
      <c r="L17" s="14"/>
      <c r="M17" s="14"/>
      <c r="N17" s="14"/>
      <c r="O17" s="12">
        <f t="shared" si="0"/>
        <v>127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>
        <v>253.3</v>
      </c>
      <c r="K18" s="14"/>
      <c r="L18" s="14"/>
      <c r="M18" s="14"/>
      <c r="N18" s="14"/>
      <c r="O18" s="12">
        <f t="shared" si="0"/>
        <v>253.3</v>
      </c>
      <c r="P18" s="12">
        <f t="shared" si="1"/>
        <v>0</v>
      </c>
    </row>
    <row r="19" spans="1:16" ht="18.75" x14ac:dyDescent="0.3">
      <c r="A19" s="20" t="s">
        <v>269</v>
      </c>
      <c r="B19" s="15"/>
      <c r="C19" s="14"/>
      <c r="D19" s="14"/>
      <c r="E19" s="14"/>
      <c r="F19" s="14"/>
      <c r="G19" s="14"/>
      <c r="H19" s="14">
        <v>444.9</v>
      </c>
      <c r="I19" s="14"/>
      <c r="J19" s="14"/>
      <c r="K19" s="14"/>
      <c r="L19" s="14"/>
      <c r="M19" s="14"/>
      <c r="N19" s="14"/>
      <c r="O19" s="12">
        <f t="shared" si="0"/>
        <v>444.9</v>
      </c>
      <c r="P19" s="12">
        <f t="shared" si="1"/>
        <v>0</v>
      </c>
    </row>
    <row r="20" spans="1:16" ht="18.75" x14ac:dyDescent="0.3">
      <c r="A20" s="20" t="s">
        <v>270</v>
      </c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>
        <v>110</v>
      </c>
      <c r="M20" s="14"/>
      <c r="N20" s="14"/>
      <c r="O20" s="12">
        <f t="shared" si="0"/>
        <v>110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194.15</v>
      </c>
      <c r="I23" s="17">
        <v>194.15</v>
      </c>
      <c r="J23" s="17">
        <v>180</v>
      </c>
      <c r="K23" s="17">
        <v>180</v>
      </c>
      <c r="L23" s="17"/>
      <c r="M23" s="17"/>
      <c r="N23" s="17"/>
      <c r="O23" s="49">
        <f t="shared" si="0"/>
        <v>374.15</v>
      </c>
      <c r="P23" s="49">
        <f t="shared" si="1"/>
        <v>374.15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168.35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1886.15</v>
      </c>
      <c r="I24" s="21">
        <f t="shared" si="2"/>
        <v>1196.01</v>
      </c>
      <c r="J24" s="21">
        <f t="shared" si="2"/>
        <v>1825</v>
      </c>
      <c r="K24" s="21">
        <f t="shared" si="2"/>
        <v>635.64</v>
      </c>
      <c r="L24" s="21">
        <f t="shared" si="2"/>
        <v>110</v>
      </c>
      <c r="M24" s="21">
        <f t="shared" si="2"/>
        <v>0</v>
      </c>
      <c r="N24" s="21">
        <f t="shared" si="2"/>
        <v>0</v>
      </c>
      <c r="O24" s="50">
        <f t="shared" si="2"/>
        <v>3989.5</v>
      </c>
      <c r="P24" s="50">
        <f t="shared" si="2"/>
        <v>1831.65</v>
      </c>
    </row>
    <row r="25" spans="1:16" ht="15.75" thickBot="1" x14ac:dyDescent="0.3">
      <c r="N25" t="s">
        <v>55</v>
      </c>
      <c r="O25" s="50">
        <f>SUM(B24+D24+F24+H24+J24+L24+N24)</f>
        <v>3989.5</v>
      </c>
      <c r="P25" s="50">
        <f>SUM(C24+E24+G24+I24+K24+M24)</f>
        <v>1831.65</v>
      </c>
    </row>
    <row r="26" spans="1:16" ht="15.75" thickBot="1" x14ac:dyDescent="0.3">
      <c r="A26" t="s">
        <v>27</v>
      </c>
      <c r="B26" s="22">
        <f>O24</f>
        <v>3989.5</v>
      </c>
      <c r="D26" s="5" t="s">
        <v>30</v>
      </c>
      <c r="E26" s="47">
        <f>B50*1.5</f>
        <v>3810.3582000000001</v>
      </c>
    </row>
    <row r="27" spans="1:16" x14ac:dyDescent="0.25">
      <c r="A27" t="s">
        <v>28</v>
      </c>
      <c r="B27" s="22">
        <f>P24</f>
        <v>1831.65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3989.5</v>
      </c>
      <c r="H32" s="37"/>
      <c r="I32" s="26" t="s">
        <v>50</v>
      </c>
      <c r="J32" s="44">
        <f>'Sem 20'!J32+'Sem 21'!F32</f>
        <v>81194.97</v>
      </c>
      <c r="L32" s="37"/>
      <c r="M32" s="27" t="s">
        <v>50</v>
      </c>
      <c r="N32" s="45">
        <f>'Sem 20'!N32+'Sem 21'!F32</f>
        <v>98149.48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2540.2388000000001</v>
      </c>
      <c r="H33" s="37"/>
      <c r="I33" s="26" t="s">
        <v>51</v>
      </c>
      <c r="J33" s="44">
        <f>'Sem 20'!J33+'Sem 21'!F33</f>
        <v>57402.372399999993</v>
      </c>
      <c r="L33" s="37"/>
      <c r="M33" s="27" t="s">
        <v>51</v>
      </c>
      <c r="N33" s="45">
        <f>'Sem 20'!N33+'Sem 21'!F33</f>
        <v>69912.168799999999</v>
      </c>
    </row>
    <row r="34" spans="1:15" x14ac:dyDescent="0.25">
      <c r="A34" t="s">
        <v>34</v>
      </c>
      <c r="B34" s="29">
        <f>IF(C34="","",(C34*1.16)+3.75+10)</f>
        <v>1802.6787999999999</v>
      </c>
      <c r="C34" s="35">
        <v>1542.18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1449.2611999999999</v>
      </c>
      <c r="H35" s="37"/>
      <c r="I35" s="26" t="s">
        <v>52</v>
      </c>
      <c r="J35" s="44">
        <f>'Sem 20'!J35+'Sem 21'!F35</f>
        <v>23792.597600000008</v>
      </c>
      <c r="L35" s="37"/>
      <c r="M35" s="27" t="s">
        <v>52</v>
      </c>
      <c r="N35" s="45">
        <f>'Sem 20'!N35+'Sem 21'!F35</f>
        <v>28237.311200000004</v>
      </c>
    </row>
    <row r="36" spans="1:15" x14ac:dyDescent="0.25">
      <c r="A36" t="s">
        <v>36</v>
      </c>
      <c r="B36" s="31"/>
      <c r="D36" s="37"/>
      <c r="E36" s="25" t="s">
        <v>53</v>
      </c>
      <c r="F36" s="43">
        <f>(F32-F33)/F33</f>
        <v>0.57052163757202667</v>
      </c>
      <c r="H36" s="37"/>
      <c r="I36" s="26" t="s">
        <v>53</v>
      </c>
      <c r="J36" s="52">
        <f>(J32-J33)/J33</f>
        <v>0.41448805345891959</v>
      </c>
      <c r="L36" s="37"/>
      <c r="M36" s="27" t="s">
        <v>53</v>
      </c>
      <c r="N36" s="53">
        <f>(N32-N33)/N33</f>
        <v>0.40389694218726624</v>
      </c>
    </row>
    <row r="37" spans="1:15" x14ac:dyDescent="0.25">
      <c r="A37" t="s">
        <v>37</v>
      </c>
      <c r="B37" s="31">
        <v>660.2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x14ac:dyDescent="0.25">
      <c r="B39" s="21"/>
      <c r="D39" s="37"/>
      <c r="H39" s="37"/>
      <c r="L39" s="37"/>
      <c r="M39" s="121"/>
      <c r="N39" s="122" t="s">
        <v>217</v>
      </c>
      <c r="O39" s="123"/>
    </row>
    <row r="40" spans="1:15" x14ac:dyDescent="0.25">
      <c r="B40" s="21"/>
      <c r="D40" s="37"/>
      <c r="H40" s="37"/>
      <c r="L40" s="37"/>
      <c r="M40" s="124" t="s">
        <v>218</v>
      </c>
      <c r="N40" s="129">
        <v>96.7</v>
      </c>
      <c r="O40" s="125"/>
    </row>
    <row r="41" spans="1:15" x14ac:dyDescent="0.25">
      <c r="B41" s="21"/>
      <c r="D41" s="37"/>
      <c r="H41" s="37"/>
      <c r="L41" s="37"/>
      <c r="M41" s="124"/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N48</f>
        <v>77.360000000000014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 t="s">
        <v>219</v>
      </c>
      <c r="N47" s="129">
        <f>SUM(N40:N46)</f>
        <v>96.7</v>
      </c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3989.5</v>
      </c>
      <c r="L48" s="37"/>
      <c r="M48" s="124" t="s">
        <v>220</v>
      </c>
      <c r="N48" s="129">
        <f>N47*0.8</f>
        <v>77.360000000000014</v>
      </c>
      <c r="O48" s="125"/>
    </row>
    <row r="49" spans="1:16" ht="15.75" thickBot="1" x14ac:dyDescent="0.3">
      <c r="B49" s="21"/>
      <c r="D49" s="37"/>
      <c r="G49" s="40">
        <v>1676.55</v>
      </c>
      <c r="H49" s="37"/>
      <c r="L49" s="37"/>
      <c r="M49" s="124" t="s">
        <v>221</v>
      </c>
      <c r="N49" s="129">
        <f>N47-N48</f>
        <v>19.339999999999989</v>
      </c>
      <c r="O49" s="125"/>
    </row>
    <row r="50" spans="1:16" ht="15.75" thickBot="1" x14ac:dyDescent="0.3">
      <c r="A50" t="s">
        <v>42</v>
      </c>
      <c r="B50" s="33">
        <f>SUM(B33:B48)</f>
        <v>2540.2388000000001</v>
      </c>
      <c r="D50" s="37"/>
      <c r="G50" s="40"/>
      <c r="H50" s="37"/>
      <c r="I50" t="s">
        <v>62</v>
      </c>
      <c r="J50">
        <v>3963.35</v>
      </c>
      <c r="K50" s="41">
        <f>J50/K48</f>
        <v>0.99344529389647829</v>
      </c>
      <c r="L50" s="37"/>
      <c r="M50" s="124"/>
      <c r="N50" s="85"/>
      <c r="O50" s="125"/>
    </row>
    <row r="51" spans="1:16" ht="15.75" x14ac:dyDescent="0.25">
      <c r="B51" s="21"/>
      <c r="D51" s="37"/>
      <c r="F51" t="s">
        <v>57</v>
      </c>
      <c r="G51" s="39">
        <f>SUM(G48:G50)</f>
        <v>1676.55</v>
      </c>
      <c r="H51" s="37"/>
      <c r="I51" t="s">
        <v>63</v>
      </c>
      <c r="J51" s="22">
        <f>K48-J50</f>
        <v>26.150000000000091</v>
      </c>
      <c r="K51" s="41">
        <f>J51/K48</f>
        <v>6.5547061035217671E-3</v>
      </c>
      <c r="L51" s="37"/>
      <c r="M51" s="124"/>
      <c r="N51" s="85"/>
      <c r="O51" s="125"/>
    </row>
    <row r="52" spans="1:16" ht="15.75" thickBot="1" x14ac:dyDescent="0.3">
      <c r="A52" t="s">
        <v>43</v>
      </c>
      <c r="B52" s="21"/>
      <c r="D52" s="37"/>
      <c r="H52" s="37"/>
      <c r="L52" s="37"/>
      <c r="M52" s="126"/>
      <c r="N52" s="127"/>
      <c r="O52" s="128"/>
    </row>
    <row r="53" spans="1:16" x14ac:dyDescent="0.25">
      <c r="A53" s="6" t="s">
        <v>188</v>
      </c>
      <c r="B53" s="21">
        <v>9.35</v>
      </c>
      <c r="D53" s="37"/>
      <c r="E53" t="s">
        <v>58</v>
      </c>
      <c r="G53" s="40"/>
      <c r="H53" s="37"/>
      <c r="L53" s="37"/>
    </row>
    <row r="54" spans="1:16" x14ac:dyDescent="0.25">
      <c r="A54" s="79" t="s">
        <v>189</v>
      </c>
      <c r="B54" s="21">
        <f>B37*16%</f>
        <v>105.63200000000001</v>
      </c>
      <c r="D54" s="37"/>
      <c r="E54" t="s">
        <v>59</v>
      </c>
      <c r="G54" s="40"/>
      <c r="H54" s="37"/>
      <c r="L54" s="37"/>
    </row>
    <row r="55" spans="1:16" ht="15.75" thickBot="1" x14ac:dyDescent="0.3">
      <c r="D55" s="37"/>
      <c r="E55" t="s">
        <v>60</v>
      </c>
      <c r="G55" s="40">
        <v>756.28</v>
      </c>
      <c r="H55" s="37"/>
      <c r="L55" s="37"/>
      <c r="M55" t="s">
        <v>236</v>
      </c>
      <c r="N55" s="65">
        <f>'Sem 13'!N35+'Sem 21'!N35</f>
        <v>41185.680800000009</v>
      </c>
      <c r="P55" s="65"/>
    </row>
    <row r="56" spans="1:16" ht="15.75" thickBot="1" x14ac:dyDescent="0.3">
      <c r="A56" t="s">
        <v>44</v>
      </c>
      <c r="B56" s="33">
        <v>8682.6200000000008</v>
      </c>
      <c r="D56" s="37"/>
      <c r="H56" s="37"/>
      <c r="L56" s="37"/>
      <c r="M56" t="s">
        <v>209</v>
      </c>
      <c r="N56" s="65">
        <f>FRAIS!$G$44*_xlfn.ISOWEEKNUM($L$3)</f>
        <v>19654.146346153844</v>
      </c>
    </row>
    <row r="57" spans="1:16" ht="15.75" thickBot="1" x14ac:dyDescent="0.3">
      <c r="A57" t="s">
        <v>45</v>
      </c>
      <c r="B57" s="21">
        <f>'Sem 20'!B56</f>
        <v>11516.44</v>
      </c>
      <c r="O57" t="s">
        <v>271</v>
      </c>
    </row>
    <row r="58" spans="1:16" ht="16.5" thickBot="1" x14ac:dyDescent="0.3">
      <c r="B58" s="21"/>
      <c r="E58" t="s">
        <v>65</v>
      </c>
      <c r="G58" s="48">
        <f>SUM(G48:G50)+SUM(G53:G55)</f>
        <v>2432.83</v>
      </c>
      <c r="M58" t="s">
        <v>210</v>
      </c>
      <c r="N58" s="65">
        <f>N55-N56</f>
        <v>21531.534453846165</v>
      </c>
      <c r="O58" s="21">
        <f>N58/_xlfn.ISOWEEKNUM(L3)</f>
        <v>1025.3111644688649</v>
      </c>
    </row>
    <row r="59" spans="1:16" x14ac:dyDescent="0.25">
      <c r="A59" t="s">
        <v>46</v>
      </c>
      <c r="B59" s="21">
        <f>B56-B57</f>
        <v>-2833.8199999999997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7" tint="0.59999389629810485"/>
    <pageSetUpPr fitToPage="1"/>
  </sheetPr>
  <dimension ref="A1:P59"/>
  <sheetViews>
    <sheetView topLeftCell="A19" workbookViewId="0">
      <selection activeCell="N35" sqref="N35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.42578125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43248</v>
      </c>
      <c r="C3" s="10"/>
      <c r="D3" s="9">
        <v>43249</v>
      </c>
      <c r="E3" s="10"/>
      <c r="F3" s="9">
        <v>43250</v>
      </c>
      <c r="G3" s="10"/>
      <c r="H3" s="9">
        <v>43251</v>
      </c>
      <c r="I3" s="10"/>
      <c r="J3" s="9">
        <v>43252</v>
      </c>
      <c r="K3" s="10"/>
      <c r="L3" s="9">
        <v>43253</v>
      </c>
      <c r="M3" s="10"/>
      <c r="N3" s="9">
        <v>43254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217.7</v>
      </c>
      <c r="E4" s="12"/>
      <c r="F4" s="12"/>
      <c r="G4" s="12"/>
      <c r="H4" s="12">
        <f>542.15-217.7</f>
        <v>324.45</v>
      </c>
      <c r="I4" s="12">
        <v>574.67999999999995</v>
      </c>
      <c r="J4" s="12"/>
      <c r="K4" s="12"/>
      <c r="L4" s="12">
        <f>116+229</f>
        <v>345</v>
      </c>
      <c r="M4" s="12"/>
      <c r="N4" s="12"/>
      <c r="O4" s="12">
        <f>B4+D4+F4+H4+J4+L4+N4</f>
        <v>887.15</v>
      </c>
      <c r="P4" s="12">
        <f>C4+E4+G4+I4+K4+M4</f>
        <v>574.67999999999995</v>
      </c>
    </row>
    <row r="5" spans="1:16" ht="18.75" x14ac:dyDescent="0.3">
      <c r="A5" s="18" t="s">
        <v>11</v>
      </c>
      <c r="B5" s="13"/>
      <c r="C5" s="14"/>
      <c r="D5" s="14">
        <v>77</v>
      </c>
      <c r="E5" s="14"/>
      <c r="F5" s="14"/>
      <c r="G5" s="14"/>
      <c r="H5" s="14">
        <v>26</v>
      </c>
      <c r="I5" s="14"/>
      <c r="J5" s="14"/>
      <c r="K5" s="14"/>
      <c r="L5" s="14"/>
      <c r="M5" s="14"/>
      <c r="N5" s="14"/>
      <c r="O5" s="12">
        <f t="shared" ref="O5:O23" si="0">B5+D5+F5+H5+J5+L5+N5</f>
        <v>103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199</v>
      </c>
      <c r="E6" s="14">
        <v>165.89</v>
      </c>
      <c r="F6" s="14"/>
      <c r="G6" s="14"/>
      <c r="H6" s="14">
        <v>150.9</v>
      </c>
      <c r="I6" s="14"/>
      <c r="J6" s="14"/>
      <c r="K6" s="14"/>
      <c r="L6" s="14"/>
      <c r="M6" s="14"/>
      <c r="N6" s="14"/>
      <c r="O6" s="12">
        <f t="shared" si="0"/>
        <v>349.9</v>
      </c>
      <c r="P6" s="12">
        <f t="shared" si="1"/>
        <v>165.89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100</v>
      </c>
      <c r="G7" s="14"/>
      <c r="H7" s="14"/>
      <c r="I7" s="14"/>
      <c r="J7" s="14"/>
      <c r="K7" s="14"/>
      <c r="L7" s="14"/>
      <c r="M7" s="14"/>
      <c r="N7" s="14"/>
      <c r="O7" s="12">
        <f t="shared" si="0"/>
        <v>100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167.75</v>
      </c>
      <c r="G9" s="14">
        <v>177.82</v>
      </c>
      <c r="H9" s="14"/>
      <c r="I9" s="14"/>
      <c r="J9" s="14"/>
      <c r="K9" s="14"/>
      <c r="L9" s="14"/>
      <c r="M9" s="14"/>
      <c r="N9" s="14"/>
      <c r="O9" s="12">
        <f t="shared" si="0"/>
        <v>167.75</v>
      </c>
      <c r="P9" s="12">
        <f t="shared" si="1"/>
        <v>177.82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6">
        <v>295.8</v>
      </c>
      <c r="K13" s="14"/>
      <c r="L13" s="14"/>
      <c r="M13" s="14"/>
      <c r="N13" s="14"/>
      <c r="O13" s="12">
        <f t="shared" si="0"/>
        <v>295.8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95.7</v>
      </c>
      <c r="K14" s="14"/>
      <c r="L14" s="14"/>
      <c r="M14" s="14"/>
      <c r="N14" s="14"/>
      <c r="O14" s="12">
        <f t="shared" si="0"/>
        <v>95.7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218</v>
      </c>
      <c r="I15" s="14"/>
      <c r="J15" s="14"/>
      <c r="K15" s="14"/>
      <c r="L15" s="14"/>
      <c r="M15" s="14"/>
      <c r="N15" s="14"/>
      <c r="O15" s="12">
        <f t="shared" si="0"/>
        <v>218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>
        <v>160.85</v>
      </c>
      <c r="I16" s="14">
        <v>179.14</v>
      </c>
      <c r="J16" s="14"/>
      <c r="K16" s="14"/>
      <c r="L16" s="14"/>
      <c r="M16" s="14"/>
      <c r="N16" s="14"/>
      <c r="O16" s="12">
        <f t="shared" si="0"/>
        <v>160.85</v>
      </c>
      <c r="P16" s="12">
        <f t="shared" si="1"/>
        <v>179.14</v>
      </c>
    </row>
    <row r="17" spans="1:16" ht="18.75" x14ac:dyDescent="0.3">
      <c r="A17" s="18" t="s">
        <v>23</v>
      </c>
      <c r="B17" s="13"/>
      <c r="C17" s="14"/>
      <c r="D17" s="14">
        <v>180.7</v>
      </c>
      <c r="E17" s="14"/>
      <c r="F17" s="14"/>
      <c r="G17" s="14"/>
      <c r="H17" s="14">
        <v>216.4</v>
      </c>
      <c r="I17" s="14"/>
      <c r="J17" s="14"/>
      <c r="K17" s="14"/>
      <c r="L17" s="14"/>
      <c r="M17" s="14"/>
      <c r="N17" s="14"/>
      <c r="O17" s="12">
        <f t="shared" si="0"/>
        <v>397.1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204.75</v>
      </c>
      <c r="G18" s="14"/>
      <c r="H18" s="14"/>
      <c r="I18" s="14"/>
      <c r="J18" s="14">
        <v>196.4</v>
      </c>
      <c r="K18" s="14"/>
      <c r="L18" s="14"/>
      <c r="M18" s="14"/>
      <c r="N18" s="14"/>
      <c r="O18" s="12">
        <f t="shared" si="0"/>
        <v>401.15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>
        <v>85</v>
      </c>
      <c r="E23" s="17">
        <v>85</v>
      </c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85</v>
      </c>
      <c r="P23" s="49">
        <f t="shared" si="1"/>
        <v>85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759.4</v>
      </c>
      <c r="E24" s="21"/>
      <c r="F24" s="21">
        <f t="shared" si="2"/>
        <v>472.5</v>
      </c>
      <c r="G24" s="21">
        <f t="shared" si="2"/>
        <v>177.82</v>
      </c>
      <c r="H24" s="21">
        <f t="shared" si="2"/>
        <v>1096.6000000000001</v>
      </c>
      <c r="I24" s="21">
        <f t="shared" si="2"/>
        <v>753.81999999999994</v>
      </c>
      <c r="J24" s="21">
        <f t="shared" si="2"/>
        <v>587.9</v>
      </c>
      <c r="K24" s="21">
        <f t="shared" si="2"/>
        <v>0</v>
      </c>
      <c r="L24" s="21">
        <f t="shared" si="2"/>
        <v>345</v>
      </c>
      <c r="M24" s="21">
        <f t="shared" si="2"/>
        <v>0</v>
      </c>
      <c r="N24" s="21">
        <f t="shared" si="2"/>
        <v>0</v>
      </c>
      <c r="O24" s="50">
        <f t="shared" si="2"/>
        <v>3261.4</v>
      </c>
      <c r="P24" s="50">
        <f t="shared" si="2"/>
        <v>1182.5299999999997</v>
      </c>
    </row>
    <row r="25" spans="1:16" ht="15.75" thickBot="1" x14ac:dyDescent="0.3">
      <c r="N25" t="s">
        <v>55</v>
      </c>
      <c r="O25" s="50">
        <f>SUM(B24+D24+F24+H24+J24+L24+N24)</f>
        <v>3261.4</v>
      </c>
      <c r="P25" s="50">
        <f>SUM(C24+E24+G24+I24+K24+M24)</f>
        <v>931.63999999999987</v>
      </c>
    </row>
    <row r="26" spans="1:16" ht="15.75" thickBot="1" x14ac:dyDescent="0.3">
      <c r="A26" t="s">
        <v>27</v>
      </c>
      <c r="B26" s="22">
        <f>O24</f>
        <v>3261.4</v>
      </c>
      <c r="D26" s="5" t="s">
        <v>30</v>
      </c>
      <c r="E26" s="47">
        <f>B50*1.5</f>
        <v>3197.7941999999998</v>
      </c>
    </row>
    <row r="27" spans="1:16" x14ac:dyDescent="0.25">
      <c r="A27" t="s">
        <v>28</v>
      </c>
      <c r="B27" s="22">
        <f>P24</f>
        <v>1182.5299999999997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3261.4</v>
      </c>
      <c r="H32" s="37"/>
      <c r="I32" s="26" t="s">
        <v>50</v>
      </c>
      <c r="J32" s="44">
        <f>F32</f>
        <v>3261.4</v>
      </c>
      <c r="L32" s="37"/>
      <c r="M32" s="27" t="s">
        <v>50</v>
      </c>
      <c r="N32" s="75">
        <f>'Sem 21'!N32+'Sem 22'!F32</f>
        <v>101410.87999999999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2131.8627999999999</v>
      </c>
      <c r="H33" s="37"/>
      <c r="I33" s="26" t="s">
        <v>51</v>
      </c>
      <c r="J33" s="44">
        <f>F33</f>
        <v>2131.8627999999999</v>
      </c>
      <c r="L33" s="37"/>
      <c r="M33" s="27" t="s">
        <v>51</v>
      </c>
      <c r="N33" s="75">
        <f>'Sem 21'!N33+'Sem 22'!F33</f>
        <v>72044.031600000002</v>
      </c>
    </row>
    <row r="34" spans="1:15" x14ac:dyDescent="0.25">
      <c r="A34" t="s">
        <v>34</v>
      </c>
      <c r="B34" s="29">
        <f>IF(C34="","",(C34*1.16)+3.75+10)</f>
        <v>962.43279999999993</v>
      </c>
      <c r="C34" s="35">
        <v>817.83</v>
      </c>
      <c r="D34" s="37"/>
      <c r="E34" s="25"/>
      <c r="F34" s="25"/>
      <c r="H34" s="37"/>
      <c r="I34" s="26"/>
      <c r="J34" s="44"/>
      <c r="L34" s="37"/>
      <c r="M34" s="27"/>
      <c r="N34" s="75">
        <f>'Sem 21'!N34+'Sem 22'!F34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1129.5372000000002</v>
      </c>
      <c r="H35" s="37"/>
      <c r="I35" s="26" t="s">
        <v>52</v>
      </c>
      <c r="J35" s="44">
        <f>F35</f>
        <v>1129.5372000000002</v>
      </c>
      <c r="L35" s="37"/>
      <c r="M35" s="27" t="s">
        <v>52</v>
      </c>
      <c r="N35" s="75">
        <f>'Sem 21'!N35+'Sem 22'!F35</f>
        <v>29366.848400000003</v>
      </c>
    </row>
    <row r="36" spans="1:15" x14ac:dyDescent="0.25">
      <c r="A36" t="s">
        <v>36</v>
      </c>
      <c r="B36" s="31">
        <v>882.23</v>
      </c>
      <c r="D36" s="37"/>
      <c r="E36" s="25" t="s">
        <v>53</v>
      </c>
      <c r="F36" s="43">
        <f>(F32-F33)/F33</f>
        <v>0.52983578492949934</v>
      </c>
      <c r="H36" s="37"/>
      <c r="I36" s="26" t="s">
        <v>53</v>
      </c>
      <c r="J36" s="52">
        <f>(J32-J33)/J33</f>
        <v>0.52983578492949934</v>
      </c>
      <c r="L36" s="37"/>
      <c r="M36" s="27" t="s">
        <v>53</v>
      </c>
      <c r="N36" s="53">
        <f>(N32-N33)/N33</f>
        <v>0.40762361222438842</v>
      </c>
    </row>
    <row r="37" spans="1:15" x14ac:dyDescent="0.25">
      <c r="A37" t="s">
        <v>37</v>
      </c>
      <c r="B37" s="31">
        <v>207.4</v>
      </c>
      <c r="D37" s="37"/>
      <c r="H37" s="37"/>
      <c r="L37" s="37"/>
    </row>
    <row r="38" spans="1:15" ht="15.75" thickBot="1" x14ac:dyDescent="0.3">
      <c r="A38" t="s">
        <v>38</v>
      </c>
      <c r="B38" s="32">
        <v>48.6</v>
      </c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39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N49</f>
        <v>31.200000000000003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3261.4</v>
      </c>
      <c r="L48" s="37"/>
      <c r="M48" s="124" t="s">
        <v>219</v>
      </c>
      <c r="N48" s="129">
        <f>SUM(N41:N47)</f>
        <v>39</v>
      </c>
      <c r="O48" s="125"/>
    </row>
    <row r="49" spans="1:15" ht="15.75" thickBot="1" x14ac:dyDescent="0.3">
      <c r="B49" s="21"/>
      <c r="D49" s="37"/>
      <c r="G49" s="40">
        <v>1093.67</v>
      </c>
      <c r="H49" s="37"/>
      <c r="L49" s="37"/>
      <c r="M49" s="124" t="s">
        <v>220</v>
      </c>
      <c r="N49" s="129">
        <f>N48*0.8</f>
        <v>31.200000000000003</v>
      </c>
      <c r="O49" s="125"/>
    </row>
    <row r="50" spans="1:15" ht="15.75" thickBot="1" x14ac:dyDescent="0.3">
      <c r="A50" t="s">
        <v>42</v>
      </c>
      <c r="B50" s="33">
        <f>SUM(B33:B48)</f>
        <v>2131.8627999999999</v>
      </c>
      <c r="D50" s="37"/>
      <c r="G50" s="40"/>
      <c r="H50" s="37"/>
      <c r="I50" t="s">
        <v>62</v>
      </c>
      <c r="J50" s="21">
        <f>2876+350</f>
        <v>3226</v>
      </c>
      <c r="K50" s="41">
        <f>J50/K48</f>
        <v>0.98914576562212542</v>
      </c>
      <c r="L50" s="37"/>
      <c r="M50" s="124" t="s">
        <v>221</v>
      </c>
      <c r="N50" s="129">
        <f>N48-N49</f>
        <v>7.7999999999999972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1093.67</v>
      </c>
      <c r="H51" s="37"/>
      <c r="I51" t="s">
        <v>63</v>
      </c>
      <c r="J51" s="22">
        <f>K48-J50</f>
        <v>35.400000000000091</v>
      </c>
      <c r="K51" s="41">
        <f>J51/K48</f>
        <v>1.0854234377874561E-2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1219.95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B37*16%</f>
        <v>33.184000000000005</v>
      </c>
      <c r="D54" s="37"/>
      <c r="E54" t="s">
        <v>59</v>
      </c>
      <c r="G54" s="40">
        <v>235.61</v>
      </c>
      <c r="H54" s="37"/>
      <c r="L54" s="37"/>
    </row>
    <row r="55" spans="1:15" ht="15.75" thickBot="1" x14ac:dyDescent="0.3">
      <c r="D55" s="37"/>
      <c r="E55" t="s">
        <v>60</v>
      </c>
      <c r="G55" s="40">
        <v>65.930000000000007</v>
      </c>
      <c r="H55" s="37"/>
      <c r="L55" s="37"/>
    </row>
    <row r="56" spans="1:15" ht="15.75" thickBot="1" x14ac:dyDescent="0.3">
      <c r="A56" t="s">
        <v>44</v>
      </c>
      <c r="B56" s="33">
        <v>9523.8799999999992</v>
      </c>
      <c r="D56" s="37"/>
      <c r="H56" s="37"/>
      <c r="L56" s="37"/>
      <c r="M56" t="s">
        <v>236</v>
      </c>
      <c r="N56" s="65">
        <f>'Sem 21'!N55+'Sem 22'!F35</f>
        <v>42315.218000000008</v>
      </c>
    </row>
    <row r="57" spans="1:15" ht="15.75" thickBot="1" x14ac:dyDescent="0.3">
      <c r="A57" t="s">
        <v>45</v>
      </c>
      <c r="B57" s="21">
        <f>'Sem 21'!B56</f>
        <v>8682.6200000000008</v>
      </c>
      <c r="M57" t="s">
        <v>209</v>
      </c>
      <c r="N57" s="113">
        <f>FRAIS!$G$44*_xlfn.ISOWEEKNUM($L$3)</f>
        <v>20590.058076923073</v>
      </c>
    </row>
    <row r="58" spans="1:15" ht="16.5" thickBot="1" x14ac:dyDescent="0.3">
      <c r="B58" s="21"/>
      <c r="E58" t="s">
        <v>65</v>
      </c>
      <c r="G58" s="48">
        <f>SUM(G48:G50)+SUM(G53:G55)</f>
        <v>2615.16</v>
      </c>
      <c r="O58" t="s">
        <v>271</v>
      </c>
    </row>
    <row r="59" spans="1:15" x14ac:dyDescent="0.25">
      <c r="A59" t="s">
        <v>46</v>
      </c>
      <c r="B59" s="21">
        <f>B56-B57</f>
        <v>841.2599999999984</v>
      </c>
      <c r="M59" t="s">
        <v>210</v>
      </c>
      <c r="N59" s="113">
        <f>N56-N57</f>
        <v>21725.159923076935</v>
      </c>
      <c r="O59" s="21">
        <f>N59/_xlfn.ISOWEEKNUM(L4)</f>
        <v>434.50319846153872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7" tint="0.59999389629810485"/>
    <pageSetUpPr fitToPage="1"/>
  </sheetPr>
  <dimension ref="A1:P59"/>
  <sheetViews>
    <sheetView topLeftCell="A28" workbookViewId="0">
      <selection activeCell="G65" sqref="G65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3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43255</v>
      </c>
      <c r="C3" s="10"/>
      <c r="D3" s="9">
        <v>43256</v>
      </c>
      <c r="E3" s="10"/>
      <c r="F3" s="9">
        <v>43257</v>
      </c>
      <c r="G3" s="10"/>
      <c r="H3" s="9">
        <v>43258</v>
      </c>
      <c r="I3" s="10"/>
      <c r="J3" s="9">
        <v>43259</v>
      </c>
      <c r="K3" s="10"/>
      <c r="L3" s="9">
        <v>43260</v>
      </c>
      <c r="M3" s="10"/>
      <c r="N3" s="9">
        <v>43261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209.85</v>
      </c>
      <c r="E4" s="12"/>
      <c r="F4" s="12"/>
      <c r="G4" s="12"/>
      <c r="H4" s="12">
        <f>396.8-183.5-26.35</f>
        <v>186.95000000000002</v>
      </c>
      <c r="I4" s="12">
        <f>452.49+365.7</f>
        <v>818.19</v>
      </c>
      <c r="J4" s="12"/>
      <c r="K4" s="12"/>
      <c r="L4" s="12"/>
      <c r="M4" s="12"/>
      <c r="N4" s="12"/>
      <c r="O4" s="12">
        <f>B4+D4+F4+H4+J4+L4+N4</f>
        <v>396.8</v>
      </c>
      <c r="P4" s="12">
        <f>C4+E4+G4+I4+K4+M4</f>
        <v>818.19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66.5</v>
      </c>
      <c r="I5" s="14"/>
      <c r="J5" s="14"/>
      <c r="K5" s="14"/>
      <c r="L5" s="14"/>
      <c r="M5" s="14"/>
      <c r="N5" s="14"/>
      <c r="O5" s="12">
        <f t="shared" ref="O5:O23" si="0">B5+D5+F5+H5+J5+L5+N5</f>
        <v>66.5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175.2</v>
      </c>
      <c r="E6" s="14">
        <v>370.89</v>
      </c>
      <c r="F6" s="14"/>
      <c r="G6" s="14"/>
      <c r="H6" s="14">
        <v>157.26</v>
      </c>
      <c r="I6" s="14"/>
      <c r="J6" s="14"/>
      <c r="K6" s="14"/>
      <c r="L6" s="14"/>
      <c r="M6" s="14"/>
      <c r="N6" s="14"/>
      <c r="O6" s="12">
        <f t="shared" si="0"/>
        <v>332.46</v>
      </c>
      <c r="P6" s="12">
        <f t="shared" si="1"/>
        <v>370.89</v>
      </c>
    </row>
    <row r="7" spans="1:16" ht="18.75" x14ac:dyDescent="0.3">
      <c r="A7" s="18" t="s">
        <v>13</v>
      </c>
      <c r="B7" s="13">
        <v>216.15</v>
      </c>
      <c r="C7" s="14"/>
      <c r="D7" s="14"/>
      <c r="E7" s="14"/>
      <c r="F7" s="14">
        <v>300.55</v>
      </c>
      <c r="G7" s="14"/>
      <c r="H7" s="14"/>
      <c r="I7" s="14"/>
      <c r="J7" s="14">
        <f>575.95-300.55-216.15</f>
        <v>59.250000000000028</v>
      </c>
      <c r="K7" s="14">
        <f>106+610.51</f>
        <v>716.51</v>
      </c>
      <c r="L7" s="14"/>
      <c r="M7" s="14"/>
      <c r="N7" s="14"/>
      <c r="O7" s="12">
        <f t="shared" si="0"/>
        <v>575.95000000000005</v>
      </c>
      <c r="P7" s="12">
        <f t="shared" si="1"/>
        <v>716.51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186.75</v>
      </c>
      <c r="G9" s="14">
        <v>197.96</v>
      </c>
      <c r="H9" s="14">
        <v>110.5</v>
      </c>
      <c r="I9" s="14">
        <v>117.13</v>
      </c>
      <c r="J9" s="14"/>
      <c r="K9" s="14"/>
      <c r="L9" s="14"/>
      <c r="M9" s="14"/>
      <c r="N9" s="14"/>
      <c r="O9" s="12">
        <f t="shared" si="0"/>
        <v>297.25</v>
      </c>
      <c r="P9" s="12">
        <f t="shared" si="1"/>
        <v>315.09000000000003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>
        <v>233.1</v>
      </c>
      <c r="M12" s="14"/>
      <c r="N12" s="14"/>
      <c r="O12" s="12">
        <f t="shared" si="0"/>
        <v>233.1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395.1</v>
      </c>
      <c r="K13" s="14"/>
      <c r="L13" s="14"/>
      <c r="M13" s="14"/>
      <c r="N13" s="14"/>
      <c r="O13" s="12">
        <f t="shared" si="0"/>
        <v>395.1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43.7</v>
      </c>
      <c r="K14" s="14">
        <v>46.32</v>
      </c>
      <c r="L14" s="14"/>
      <c r="M14" s="14"/>
      <c r="N14" s="14"/>
      <c r="O14" s="12">
        <f t="shared" si="0"/>
        <v>43.7</v>
      </c>
      <c r="P14" s="12">
        <f t="shared" si="1"/>
        <v>46.32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>
        <v>192.75</v>
      </c>
      <c r="K15" s="14">
        <v>231.08</v>
      </c>
      <c r="L15" s="14"/>
      <c r="M15" s="14"/>
      <c r="N15" s="14"/>
      <c r="O15" s="12">
        <f t="shared" si="0"/>
        <v>192.75</v>
      </c>
      <c r="P15" s="12">
        <f t="shared" si="1"/>
        <v>231.08</v>
      </c>
    </row>
    <row r="16" spans="1:16" ht="18.75" x14ac:dyDescent="0.3">
      <c r="A16" s="19" t="s">
        <v>22</v>
      </c>
      <c r="B16" s="13"/>
      <c r="C16" s="14"/>
      <c r="D16" s="14">
        <v>54.5</v>
      </c>
      <c r="E16" s="14">
        <v>170.5</v>
      </c>
      <c r="F16" s="14"/>
      <c r="G16" s="14"/>
      <c r="H16" s="14">
        <v>218.95</v>
      </c>
      <c r="I16" s="14"/>
      <c r="J16" s="14"/>
      <c r="K16" s="14"/>
      <c r="L16" s="14"/>
      <c r="M16" s="14"/>
      <c r="N16" s="14"/>
      <c r="O16" s="12">
        <f t="shared" si="0"/>
        <v>273.45</v>
      </c>
      <c r="P16" s="12">
        <f t="shared" si="1"/>
        <v>170.5</v>
      </c>
    </row>
    <row r="17" spans="1:16" ht="18.75" x14ac:dyDescent="0.3">
      <c r="A17" s="18" t="s">
        <v>23</v>
      </c>
      <c r="B17" s="13"/>
      <c r="C17" s="14"/>
      <c r="D17" s="14">
        <v>89.5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89.5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f>153.2+24.26</f>
        <v>177.45999999999998</v>
      </c>
      <c r="G18" s="14"/>
      <c r="H18" s="14"/>
      <c r="I18" s="14"/>
      <c r="J18" s="14">
        <f>249.1-153.2-24.26</f>
        <v>71.64</v>
      </c>
      <c r="K18" s="14"/>
      <c r="L18" s="14"/>
      <c r="M18" s="14"/>
      <c r="N18" s="14"/>
      <c r="O18" s="12">
        <f t="shared" si="0"/>
        <v>249.09999999999997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>
        <v>72.5</v>
      </c>
      <c r="E23" s="17">
        <v>72.5</v>
      </c>
      <c r="F23" s="17">
        <v>71.3</v>
      </c>
      <c r="G23" s="17">
        <v>71.3</v>
      </c>
      <c r="H23" s="17">
        <v>17</v>
      </c>
      <c r="I23" s="17">
        <v>17</v>
      </c>
      <c r="J23" s="17"/>
      <c r="K23" s="17"/>
      <c r="L23" s="17"/>
      <c r="M23" s="17"/>
      <c r="N23" s="17"/>
      <c r="O23" s="49">
        <f t="shared" si="0"/>
        <v>160.80000000000001</v>
      </c>
      <c r="P23" s="49">
        <f t="shared" si="1"/>
        <v>160.80000000000001</v>
      </c>
    </row>
    <row r="24" spans="1:16" x14ac:dyDescent="0.25">
      <c r="A24" t="s">
        <v>54</v>
      </c>
      <c r="B24" s="21">
        <f>SUM(B4:B23)</f>
        <v>216.15</v>
      </c>
      <c r="C24" s="21">
        <f t="shared" ref="C24:P24" si="2">SUM(C4:C23)</f>
        <v>0</v>
      </c>
      <c r="D24" s="21">
        <f t="shared" si="2"/>
        <v>601.54999999999995</v>
      </c>
      <c r="E24" s="21">
        <f t="shared" si="2"/>
        <v>613.89</v>
      </c>
      <c r="F24" s="21">
        <f t="shared" si="2"/>
        <v>736.06</v>
      </c>
      <c r="G24" s="21">
        <f t="shared" si="2"/>
        <v>269.26</v>
      </c>
      <c r="H24" s="21">
        <f t="shared" si="2"/>
        <v>757.16000000000008</v>
      </c>
      <c r="I24" s="21">
        <f t="shared" si="2"/>
        <v>952.32</v>
      </c>
      <c r="J24" s="21">
        <f t="shared" si="2"/>
        <v>762.43999999999994</v>
      </c>
      <c r="K24" s="21">
        <f t="shared" si="2"/>
        <v>993.91000000000008</v>
      </c>
      <c r="L24" s="21">
        <f t="shared" si="2"/>
        <v>233.1</v>
      </c>
      <c r="M24" s="21">
        <f t="shared" si="2"/>
        <v>0</v>
      </c>
      <c r="N24" s="21">
        <f t="shared" si="2"/>
        <v>0</v>
      </c>
      <c r="O24" s="50">
        <f t="shared" si="2"/>
        <v>3306.4599999999996</v>
      </c>
      <c r="P24" s="50">
        <f t="shared" si="2"/>
        <v>2829.38</v>
      </c>
    </row>
    <row r="25" spans="1:16" ht="15.75" thickBot="1" x14ac:dyDescent="0.3">
      <c r="N25" t="s">
        <v>55</v>
      </c>
      <c r="O25" s="50">
        <f>SUM(B24+D24+F24+H24+J24+L24+N24)</f>
        <v>3306.46</v>
      </c>
      <c r="P25" s="50">
        <f>SUM(C24+E24+G24+I24+K24+M24)</f>
        <v>2829.38</v>
      </c>
    </row>
    <row r="26" spans="1:16" ht="15.75" thickBot="1" x14ac:dyDescent="0.3">
      <c r="A26" t="s">
        <v>27</v>
      </c>
      <c r="B26" s="22">
        <f>O24</f>
        <v>3306.4599999999996</v>
      </c>
      <c r="D26" s="5" t="s">
        <v>30</v>
      </c>
      <c r="E26" s="47">
        <f>B50*1.5</f>
        <v>2465.3537999999999</v>
      </c>
    </row>
    <row r="27" spans="1:16" x14ac:dyDescent="0.25">
      <c r="A27" t="s">
        <v>28</v>
      </c>
      <c r="B27" s="22">
        <f>P24</f>
        <v>2829.38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3306.4599999999996</v>
      </c>
      <c r="H32" s="37"/>
      <c r="I32" s="26" t="s">
        <v>50</v>
      </c>
      <c r="J32" s="44">
        <f>'Sem 22'!J32+'Sem 23'!F32</f>
        <v>6567.86</v>
      </c>
      <c r="L32" s="37"/>
      <c r="M32" s="27" t="s">
        <v>50</v>
      </c>
      <c r="N32" s="45">
        <f>'Sem 22'!N32+'Sem 23'!F32</f>
        <v>104717.34</v>
      </c>
    </row>
    <row r="33" spans="1:15" x14ac:dyDescent="0.25">
      <c r="A33" t="s">
        <v>33</v>
      </c>
      <c r="B33" s="28">
        <f>IF(C33="","",(C33*1.16)+3.75+10)</f>
        <v>857.38319999999987</v>
      </c>
      <c r="C33" s="34">
        <v>727.27</v>
      </c>
      <c r="D33" s="37"/>
      <c r="E33" s="25" t="s">
        <v>51</v>
      </c>
      <c r="F33" s="42">
        <f>B50</f>
        <v>1643.5691999999999</v>
      </c>
      <c r="H33" s="37"/>
      <c r="I33" s="26" t="s">
        <v>51</v>
      </c>
      <c r="J33" s="44">
        <f>'Sem 22'!J33+'Sem 23'!F33</f>
        <v>3775.4319999999998</v>
      </c>
      <c r="L33" s="37"/>
      <c r="M33" s="27" t="s">
        <v>51</v>
      </c>
      <c r="N33" s="45">
        <f>'Sem 22'!N33+'Sem 23'!F33</f>
        <v>73687.6008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1662.8907999999997</v>
      </c>
      <c r="H35" s="37"/>
      <c r="I35" s="26" t="s">
        <v>52</v>
      </c>
      <c r="J35" s="44">
        <f>'Sem 22'!J35+'Sem 23'!F35</f>
        <v>2792.4279999999999</v>
      </c>
      <c r="L35" s="37"/>
      <c r="M35" s="27" t="s">
        <v>52</v>
      </c>
      <c r="N35" s="45">
        <f>'Sem 22'!N35+'Sem 23'!F35</f>
        <v>31029.739200000004</v>
      </c>
    </row>
    <row r="36" spans="1:15" x14ac:dyDescent="0.25">
      <c r="A36" t="s">
        <v>36</v>
      </c>
      <c r="B36" s="31"/>
      <c r="D36" s="37"/>
      <c r="E36" s="25" t="s">
        <v>53</v>
      </c>
      <c r="F36" s="43">
        <f>(F32-F33)/F33</f>
        <v>1.0117558786085792</v>
      </c>
      <c r="H36" s="37"/>
      <c r="I36" s="26" t="s">
        <v>53</v>
      </c>
      <c r="J36" s="52">
        <f>(J32-J33)/J33</f>
        <v>0.73963138522955785</v>
      </c>
      <c r="L36" s="37"/>
      <c r="M36" s="27" t="s">
        <v>53</v>
      </c>
      <c r="N36" s="53">
        <f>(N32-N33)/N33</f>
        <v>0.42109851403928455</v>
      </c>
    </row>
    <row r="37" spans="1:15" x14ac:dyDescent="0.25">
      <c r="A37" t="s">
        <v>37</v>
      </c>
      <c r="B37" s="31">
        <v>715.89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x14ac:dyDescent="0.25">
      <c r="B39" s="21"/>
      <c r="D39" s="37"/>
      <c r="H39" s="37"/>
      <c r="L39" s="37"/>
      <c r="M39" s="121"/>
      <c r="N39" s="122" t="s">
        <v>217</v>
      </c>
      <c r="O39" s="123"/>
    </row>
    <row r="40" spans="1:15" x14ac:dyDescent="0.25">
      <c r="B40" s="21"/>
      <c r="D40" s="37"/>
      <c r="H40" s="37"/>
      <c r="L40" s="37"/>
      <c r="M40" s="124" t="s">
        <v>218</v>
      </c>
      <c r="N40" s="129">
        <v>24.26</v>
      </c>
      <c r="O40" s="125"/>
    </row>
    <row r="41" spans="1:15" x14ac:dyDescent="0.25">
      <c r="B41" s="21"/>
      <c r="D41" s="147" t="s">
        <v>272</v>
      </c>
      <c r="H41" s="37"/>
      <c r="L41" s="37"/>
      <c r="M41" s="124"/>
      <c r="N41" s="129">
        <v>37.26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>
        <v>26.35</v>
      </c>
      <c r="O42" s="125"/>
    </row>
    <row r="43" spans="1:15" x14ac:dyDescent="0.25">
      <c r="A43" t="s">
        <v>40</v>
      </c>
      <c r="B43" s="21">
        <f>N48</f>
        <v>70.296000000000006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 t="s">
        <v>219</v>
      </c>
      <c r="N47" s="129">
        <f>SUM(N40:N46)</f>
        <v>87.87</v>
      </c>
      <c r="O47" s="125"/>
    </row>
    <row r="48" spans="1:15" ht="15.75" x14ac:dyDescent="0.25">
      <c r="B48" s="21"/>
      <c r="D48" s="37"/>
      <c r="E48" t="s">
        <v>56</v>
      </c>
      <c r="G48" s="40">
        <v>18.850000000000001</v>
      </c>
      <c r="H48" s="37"/>
      <c r="I48" s="38" t="s">
        <v>61</v>
      </c>
      <c r="J48" s="38"/>
      <c r="K48" s="39">
        <f>F32</f>
        <v>3306.4599999999996</v>
      </c>
      <c r="L48" s="37"/>
      <c r="M48" s="124" t="s">
        <v>220</v>
      </c>
      <c r="N48" s="129">
        <f>N47*0.8</f>
        <v>70.296000000000006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221</v>
      </c>
      <c r="N49" s="129">
        <f>N47-N48</f>
        <v>17.573999999999998</v>
      </c>
      <c r="O49" s="125"/>
    </row>
    <row r="50" spans="1:15" ht="15.75" thickBot="1" x14ac:dyDescent="0.3">
      <c r="A50" t="s">
        <v>42</v>
      </c>
      <c r="B50" s="33">
        <f>SUM(B33:B48)</f>
        <v>1643.5691999999999</v>
      </c>
      <c r="D50" s="37"/>
      <c r="G50" s="40"/>
      <c r="H50" s="37"/>
      <c r="I50" t="s">
        <v>62</v>
      </c>
      <c r="J50">
        <v>3678.57</v>
      </c>
      <c r="K50" s="41">
        <f>J50/K48</f>
        <v>1.112540299897776</v>
      </c>
      <c r="L50" s="37"/>
      <c r="M50" s="124"/>
      <c r="N50" s="85"/>
      <c r="O50" s="125"/>
    </row>
    <row r="51" spans="1:15" ht="15.75" x14ac:dyDescent="0.25">
      <c r="B51" s="21"/>
      <c r="D51" s="37"/>
      <c r="F51" t="s">
        <v>57</v>
      </c>
      <c r="G51" s="39">
        <f>SUM(G48:G50)</f>
        <v>18.850000000000001</v>
      </c>
      <c r="H51" s="37"/>
      <c r="I51" t="s">
        <v>63</v>
      </c>
      <c r="J51" s="22">
        <f>K48-J50</f>
        <v>-372.11000000000058</v>
      </c>
      <c r="K51" s="41">
        <f>J51/K48</f>
        <v>-0.11254029989777606</v>
      </c>
      <c r="L51" s="37"/>
      <c r="M51" s="124"/>
      <c r="N51" s="85"/>
      <c r="O51" s="125"/>
    </row>
    <row r="52" spans="1:15" ht="15.75" thickBot="1" x14ac:dyDescent="0.3">
      <c r="A52" t="s">
        <v>43</v>
      </c>
      <c r="B52" s="21"/>
      <c r="D52" s="37"/>
      <c r="H52" s="37"/>
      <c r="L52" s="37"/>
      <c r="M52" s="126"/>
      <c r="N52" s="127"/>
      <c r="O52" s="128"/>
    </row>
    <row r="53" spans="1:15" x14ac:dyDescent="0.25">
      <c r="A53" s="6" t="s">
        <v>188</v>
      </c>
      <c r="B53" s="21">
        <v>9.35</v>
      </c>
      <c r="D53" s="37"/>
      <c r="E53" t="s">
        <v>58</v>
      </c>
      <c r="G53" s="40"/>
      <c r="H53" s="37"/>
      <c r="I53" t="s">
        <v>274</v>
      </c>
      <c r="L53" s="37"/>
    </row>
    <row r="54" spans="1:15" x14ac:dyDescent="0.25">
      <c r="A54" s="79" t="s">
        <v>189</v>
      </c>
      <c r="B54" s="21">
        <f>B37*16%</f>
        <v>114.5424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824.15</v>
      </c>
      <c r="H55" s="37"/>
      <c r="L55" s="37"/>
      <c r="M55" t="s">
        <v>236</v>
      </c>
      <c r="N55" s="65">
        <f>'Sem 22'!N56+'Sem 23'!F35</f>
        <v>43978.108800000009</v>
      </c>
    </row>
    <row r="56" spans="1:15" ht="15.75" thickBot="1" x14ac:dyDescent="0.3">
      <c r="A56" t="s">
        <v>44</v>
      </c>
      <c r="B56" s="33">
        <v>5998.5</v>
      </c>
      <c r="D56" s="37"/>
      <c r="H56" s="37"/>
      <c r="L56" s="37"/>
      <c r="M56" t="s">
        <v>209</v>
      </c>
      <c r="N56" s="113">
        <f>FRAIS!$G$44*_xlfn.ISOWEEKNUM($L$3)</f>
        <v>21525.969807692305</v>
      </c>
    </row>
    <row r="57" spans="1:15" ht="15.75" thickBot="1" x14ac:dyDescent="0.3">
      <c r="A57" t="s">
        <v>45</v>
      </c>
      <c r="B57" s="21">
        <f>'Sem 22'!B56</f>
        <v>9523.8799999999992</v>
      </c>
      <c r="O57" t="s">
        <v>271</v>
      </c>
    </row>
    <row r="58" spans="1:15" ht="16.5" thickBot="1" x14ac:dyDescent="0.3">
      <c r="B58" s="21"/>
      <c r="E58" t="s">
        <v>65</v>
      </c>
      <c r="G58" s="48">
        <f>SUM(G48:G50)+SUM(G53:G55)</f>
        <v>843</v>
      </c>
      <c r="M58" t="s">
        <v>210</v>
      </c>
      <c r="N58" s="113">
        <f>N55-N56</f>
        <v>22452.138992307704</v>
      </c>
      <c r="O58" s="21">
        <f>N58/_xlfn.ISOWEEKNUM(L3)</f>
        <v>976.17995618729151</v>
      </c>
    </row>
    <row r="59" spans="1:15" x14ac:dyDescent="0.25">
      <c r="A59" t="s">
        <v>46</v>
      </c>
      <c r="B59" s="21">
        <f>B56-B57</f>
        <v>-3525.3799999999992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7" tint="0.59999389629810485"/>
    <pageSetUpPr fitToPage="1"/>
  </sheetPr>
  <dimension ref="A1:P60"/>
  <sheetViews>
    <sheetView topLeftCell="A13" workbookViewId="0">
      <selection activeCell="B60" sqref="B6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4.5703125" bestFit="1" customWidth="1"/>
    <col min="10" max="10" width="12" bestFit="1" customWidth="1"/>
    <col min="11" max="11" width="13.5703125" customWidth="1"/>
    <col min="14" max="14" width="13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43262</v>
      </c>
      <c r="C3" s="10"/>
      <c r="D3" s="9">
        <v>43263</v>
      </c>
      <c r="E3" s="10"/>
      <c r="F3" s="9">
        <v>43264</v>
      </c>
      <c r="G3" s="10"/>
      <c r="H3" s="9">
        <v>43265</v>
      </c>
      <c r="I3" s="10"/>
      <c r="J3" s="9">
        <v>43266</v>
      </c>
      <c r="K3" s="10"/>
      <c r="L3" s="9">
        <v>43267</v>
      </c>
      <c r="M3" s="10"/>
      <c r="N3" s="9">
        <v>43268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507.2</v>
      </c>
      <c r="E4" s="12"/>
      <c r="F4" s="12"/>
      <c r="G4" s="12"/>
      <c r="H4" s="12">
        <f>748.3-507.2</f>
        <v>241.09999999999997</v>
      </c>
      <c r="I4" s="12">
        <v>793.2</v>
      </c>
      <c r="J4" s="12"/>
      <c r="K4" s="12"/>
      <c r="L4" s="12"/>
      <c r="M4" s="12"/>
      <c r="N4" s="12"/>
      <c r="O4" s="12">
        <f>B4+D4+F4+H4+J4+L4+N4</f>
        <v>748.3</v>
      </c>
      <c r="P4" s="12">
        <f>C4+E4+G4+I4+K4+M4</f>
        <v>793.2</v>
      </c>
    </row>
    <row r="5" spans="1:16" ht="18.75" x14ac:dyDescent="0.3">
      <c r="A5" s="18" t="s">
        <v>11</v>
      </c>
      <c r="B5" s="148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273.05</v>
      </c>
      <c r="E6" s="14">
        <v>357.99</v>
      </c>
      <c r="F6" s="14"/>
      <c r="G6" s="14"/>
      <c r="H6" s="14">
        <v>308.75</v>
      </c>
      <c r="I6" s="14"/>
      <c r="J6" s="14"/>
      <c r="K6" s="14"/>
      <c r="L6" s="14"/>
      <c r="M6" s="14"/>
      <c r="N6" s="14"/>
      <c r="O6" s="12">
        <f t="shared" si="0"/>
        <v>581.79999999999995</v>
      </c>
      <c r="P6" s="12">
        <f t="shared" si="1"/>
        <v>357.99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197</v>
      </c>
      <c r="K7" s="14">
        <v>208.82</v>
      </c>
      <c r="L7" s="14"/>
      <c r="M7" s="14"/>
      <c r="N7" s="14"/>
      <c r="O7" s="12">
        <f t="shared" si="0"/>
        <v>197</v>
      </c>
      <c r="P7" s="12">
        <f t="shared" si="1"/>
        <v>208.82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279.7</v>
      </c>
      <c r="I9" s="14"/>
      <c r="J9" s="14"/>
      <c r="K9" s="14"/>
      <c r="L9" s="14"/>
      <c r="M9" s="14"/>
      <c r="N9" s="14"/>
      <c r="O9" s="12">
        <f t="shared" si="0"/>
        <v>279.7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443.8</v>
      </c>
      <c r="K13" s="14"/>
      <c r="L13" s="14"/>
      <c r="M13" s="14"/>
      <c r="N13" s="14"/>
      <c r="O13" s="12">
        <f t="shared" si="0"/>
        <v>443.8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67.45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67.45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254.8</v>
      </c>
      <c r="E15" s="14">
        <v>204.32</v>
      </c>
      <c r="F15" s="14"/>
      <c r="G15" s="14"/>
      <c r="H15" s="14">
        <v>42</v>
      </c>
      <c r="I15" s="14"/>
      <c r="J15" s="14"/>
      <c r="K15" s="14"/>
      <c r="L15" s="14"/>
      <c r="M15" s="14"/>
      <c r="N15" s="14"/>
      <c r="O15" s="12">
        <f t="shared" si="0"/>
        <v>296.8</v>
      </c>
      <c r="P15" s="12">
        <f t="shared" si="1"/>
        <v>204.32</v>
      </c>
    </row>
    <row r="16" spans="1:16" ht="18.75" x14ac:dyDescent="0.3">
      <c r="A16" s="19" t="s">
        <v>22</v>
      </c>
      <c r="B16" s="13">
        <v>89.45</v>
      </c>
      <c r="C16" s="14"/>
      <c r="D16" s="14"/>
      <c r="E16" s="14"/>
      <c r="F16" s="14"/>
      <c r="G16" s="14"/>
      <c r="H16" s="14">
        <v>286.45</v>
      </c>
      <c r="I16" s="14">
        <v>289.86</v>
      </c>
      <c r="J16" s="14"/>
      <c r="K16" s="14"/>
      <c r="L16" s="14"/>
      <c r="M16" s="14"/>
      <c r="N16" s="14"/>
      <c r="O16" s="12">
        <f t="shared" si="0"/>
        <v>375.9</v>
      </c>
      <c r="P16" s="12">
        <f t="shared" si="1"/>
        <v>289.86</v>
      </c>
    </row>
    <row r="17" spans="1:16" ht="18.75" x14ac:dyDescent="0.3">
      <c r="A17" s="18" t="s">
        <v>23</v>
      </c>
      <c r="B17" s="13"/>
      <c r="C17" s="14"/>
      <c r="D17" s="14">
        <v>213.5</v>
      </c>
      <c r="E17" s="14"/>
      <c r="F17" s="14"/>
      <c r="G17" s="14"/>
      <c r="H17" s="14">
        <v>192.75</v>
      </c>
      <c r="I17" s="14"/>
      <c r="J17" s="14"/>
      <c r="K17" s="14"/>
      <c r="L17" s="14"/>
      <c r="M17" s="14"/>
      <c r="N17" s="14"/>
      <c r="O17" s="12">
        <f t="shared" si="0"/>
        <v>406.25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138.19999999999999</v>
      </c>
      <c r="G18" s="14">
        <v>425.22</v>
      </c>
      <c r="H18" s="14"/>
      <c r="I18" s="14"/>
      <c r="J18" s="14">
        <f>308.45-138.2</f>
        <v>170.25</v>
      </c>
      <c r="K18" s="14">
        <v>425.22</v>
      </c>
      <c r="L18" s="14"/>
      <c r="M18" s="14"/>
      <c r="N18" s="14"/>
      <c r="O18" s="12">
        <f t="shared" si="0"/>
        <v>308.45</v>
      </c>
      <c r="P18" s="12">
        <f t="shared" si="1"/>
        <v>850.44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96.25</v>
      </c>
      <c r="G23" s="17">
        <v>96.25</v>
      </c>
      <c r="H23" s="17">
        <v>84.5</v>
      </c>
      <c r="I23" s="17">
        <v>84.5</v>
      </c>
      <c r="J23" s="17">
        <v>77.5</v>
      </c>
      <c r="K23" s="17">
        <v>77.5</v>
      </c>
      <c r="L23" s="17"/>
      <c r="M23" s="17"/>
      <c r="N23" s="17"/>
      <c r="O23" s="49">
        <f t="shared" si="0"/>
        <v>258.25</v>
      </c>
      <c r="P23" s="49">
        <f t="shared" si="1"/>
        <v>258.25</v>
      </c>
    </row>
    <row r="24" spans="1:16" x14ac:dyDescent="0.25">
      <c r="A24" t="s">
        <v>54</v>
      </c>
      <c r="B24" s="21">
        <f>SUM(B4:B23)</f>
        <v>89.45</v>
      </c>
      <c r="C24" s="21">
        <f t="shared" ref="C24:P24" si="2">SUM(C4:C23)</f>
        <v>0</v>
      </c>
      <c r="D24" s="21">
        <f t="shared" si="2"/>
        <v>1248.55</v>
      </c>
      <c r="E24" s="21">
        <f t="shared" si="2"/>
        <v>562.30999999999995</v>
      </c>
      <c r="F24" s="21">
        <f t="shared" si="2"/>
        <v>301.89999999999998</v>
      </c>
      <c r="G24" s="21">
        <f t="shared" si="2"/>
        <v>521.47</v>
      </c>
      <c r="H24" s="21">
        <f t="shared" si="2"/>
        <v>1435.25</v>
      </c>
      <c r="I24" s="21">
        <f t="shared" si="2"/>
        <v>1167.56</v>
      </c>
      <c r="J24" s="21">
        <f t="shared" si="2"/>
        <v>888.55</v>
      </c>
      <c r="K24" s="21">
        <f t="shared" si="2"/>
        <v>711.54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3963.7</v>
      </c>
      <c r="P24" s="50">
        <f t="shared" si="2"/>
        <v>2962.88</v>
      </c>
    </row>
    <row r="25" spans="1:16" ht="15.75" thickBot="1" x14ac:dyDescent="0.3">
      <c r="N25" t="s">
        <v>55</v>
      </c>
      <c r="O25" s="50">
        <f>SUM(B24+D24+F24+H24+J24+L24+N24)</f>
        <v>3963.7</v>
      </c>
      <c r="P25" s="50">
        <f>SUM(C24+E24+G24+I24+K24+M24)</f>
        <v>2962.88</v>
      </c>
    </row>
    <row r="26" spans="1:16" ht="15.75" thickBot="1" x14ac:dyDescent="0.3">
      <c r="A26" t="s">
        <v>27</v>
      </c>
      <c r="B26" s="22">
        <f>O24</f>
        <v>3963.7</v>
      </c>
      <c r="D26" s="5" t="s">
        <v>30</v>
      </c>
      <c r="E26" s="47">
        <f>B50*1.5</f>
        <v>5144.7911999999997</v>
      </c>
    </row>
    <row r="27" spans="1:16" x14ac:dyDescent="0.25">
      <c r="A27" t="s">
        <v>28</v>
      </c>
      <c r="B27" s="22">
        <f>P24</f>
        <v>2962.88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3963.7</v>
      </c>
      <c r="H32" s="37"/>
      <c r="I32" s="26" t="s">
        <v>50</v>
      </c>
      <c r="J32" s="44">
        <f>'Sem 23'!J32+'Sem 24'!F32</f>
        <v>10531.56</v>
      </c>
      <c r="L32" s="37"/>
      <c r="M32" s="27" t="s">
        <v>50</v>
      </c>
      <c r="N32" s="45">
        <f>'Sem 23'!N32+'Sem 24'!F32</f>
        <v>108681.04</v>
      </c>
    </row>
    <row r="33" spans="1:15" x14ac:dyDescent="0.25">
      <c r="A33" t="s">
        <v>33</v>
      </c>
      <c r="B33" s="28">
        <f>IF(C33="","",(C33*1.16)+3.75+10)</f>
        <v>1602.1495999999997</v>
      </c>
      <c r="C33" s="34">
        <v>1369.31</v>
      </c>
      <c r="D33" s="37"/>
      <c r="E33" s="25" t="s">
        <v>51</v>
      </c>
      <c r="F33" s="42">
        <f>B50</f>
        <v>3429.8607999999999</v>
      </c>
      <c r="H33" s="37"/>
      <c r="I33" s="26" t="s">
        <v>51</v>
      </c>
      <c r="J33" s="44">
        <f>'Sem 23'!J33+'Sem 24'!F33</f>
        <v>7205.2927999999993</v>
      </c>
      <c r="L33" s="37"/>
      <c r="M33" s="27" t="s">
        <v>51</v>
      </c>
      <c r="N33" s="45">
        <f>'Sem 23'!N33+'Sem 24'!F33</f>
        <v>77117.461599999995</v>
      </c>
    </row>
    <row r="34" spans="1:15" x14ac:dyDescent="0.25">
      <c r="A34" t="s">
        <v>34</v>
      </c>
      <c r="B34" s="29">
        <f>IF(C34="","",(C34*1.16)+3.75+10)</f>
        <v>496.39119999999997</v>
      </c>
      <c r="C34" s="35">
        <v>416.07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533.83919999999989</v>
      </c>
      <c r="H35" s="37"/>
      <c r="I35" s="26" t="s">
        <v>52</v>
      </c>
      <c r="J35" s="44">
        <f>'Sem 23'!J35+'Sem 24'!F35</f>
        <v>3326.2671999999998</v>
      </c>
      <c r="L35" s="37"/>
      <c r="M35" s="27" t="s">
        <v>52</v>
      </c>
      <c r="N35" s="45">
        <f>'Sem 23'!N35+'Sem 24'!F35</f>
        <v>31563.578400000002</v>
      </c>
    </row>
    <row r="36" spans="1:15" x14ac:dyDescent="0.25">
      <c r="A36" t="s">
        <v>36</v>
      </c>
      <c r="B36" s="31">
        <v>1000.92</v>
      </c>
      <c r="D36" s="37"/>
      <c r="E36" s="25" t="s">
        <v>53</v>
      </c>
      <c r="F36" s="43">
        <f>(F32-F33)/F33</f>
        <v>0.15564456726640333</v>
      </c>
      <c r="H36" s="37"/>
      <c r="I36" s="26" t="s">
        <v>53</v>
      </c>
      <c r="J36" s="52">
        <f>(J32-J33)/J33</f>
        <v>0.46164219724700162</v>
      </c>
      <c r="L36" s="37"/>
      <c r="M36" s="27" t="s">
        <v>53</v>
      </c>
      <c r="N36" s="53">
        <f>(N32-N33)/N33</f>
        <v>0.40929223738868503</v>
      </c>
    </row>
    <row r="37" spans="1:15" x14ac:dyDescent="0.25">
      <c r="A37" t="s">
        <v>37</v>
      </c>
      <c r="B37" s="31">
        <v>330.4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N49</f>
        <v>0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1486.21</v>
      </c>
      <c r="H48" s="37"/>
      <c r="I48" s="38" t="s">
        <v>61</v>
      </c>
      <c r="J48" s="38"/>
      <c r="K48" s="39">
        <f>F32</f>
        <v>3963.7</v>
      </c>
      <c r="L48" s="37"/>
      <c r="M48" s="124" t="s">
        <v>219</v>
      </c>
      <c r="N48" s="129">
        <f>SUM(N41:N47)</f>
        <v>0</v>
      </c>
      <c r="O48" s="125"/>
    </row>
    <row r="49" spans="1:15" ht="15.75" thickBot="1" x14ac:dyDescent="0.3">
      <c r="B49" s="21"/>
      <c r="D49" s="37"/>
      <c r="G49" s="40">
        <v>575.47</v>
      </c>
      <c r="H49" s="37"/>
      <c r="L49" s="37"/>
      <c r="M49" s="124" t="s">
        <v>220</v>
      </c>
      <c r="N49" s="129">
        <f>N48*0.8</f>
        <v>0</v>
      </c>
      <c r="O49" s="125"/>
    </row>
    <row r="50" spans="1:15" ht="15.75" thickBot="1" x14ac:dyDescent="0.3">
      <c r="A50" t="s">
        <v>42</v>
      </c>
      <c r="B50" s="33">
        <f>SUM(B33:B48)</f>
        <v>3429.8607999999999</v>
      </c>
      <c r="D50" s="37"/>
      <c r="G50" s="40"/>
      <c r="H50" s="37"/>
      <c r="I50" t="s">
        <v>62</v>
      </c>
      <c r="J50">
        <v>3705.45</v>
      </c>
      <c r="K50" s="41">
        <f>J50/K48</f>
        <v>0.93484622953301211</v>
      </c>
      <c r="L50" s="37"/>
      <c r="M50" s="124" t="s">
        <v>221</v>
      </c>
      <c r="N50" s="129">
        <f>N48-N49</f>
        <v>0</v>
      </c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258.25</v>
      </c>
      <c r="K51" s="41">
        <f>J51/K48</f>
        <v>6.515377046698792E-2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1202.76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B37*16%</f>
        <v>52.863999999999997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509.76</v>
      </c>
      <c r="H55" s="37"/>
      <c r="L55" s="37"/>
    </row>
    <row r="56" spans="1:15" ht="15.75" thickBot="1" x14ac:dyDescent="0.3">
      <c r="A56" t="s">
        <v>44</v>
      </c>
      <c r="B56" s="33">
        <v>5762.43</v>
      </c>
      <c r="D56" s="37"/>
      <c r="H56" s="37"/>
      <c r="L56" s="37"/>
    </row>
    <row r="57" spans="1:15" ht="15.75" thickBot="1" x14ac:dyDescent="0.3">
      <c r="A57" t="s">
        <v>45</v>
      </c>
      <c r="B57" s="21">
        <f>'Sem 23'!B56</f>
        <v>5998.5</v>
      </c>
    </row>
    <row r="58" spans="1:15" ht="16.5" thickBot="1" x14ac:dyDescent="0.3">
      <c r="B58" s="21"/>
      <c r="E58" t="s">
        <v>65</v>
      </c>
      <c r="G58" s="48">
        <f>SUM(G48:G50)+SUM(G53:G55)</f>
        <v>3774.2000000000003</v>
      </c>
    </row>
    <row r="59" spans="1:15" x14ac:dyDescent="0.25">
      <c r="A59" t="s">
        <v>46</v>
      </c>
      <c r="B59" s="21">
        <f>+B56-B57</f>
        <v>-236.06999999999971</v>
      </c>
    </row>
    <row r="60" spans="1:15" x14ac:dyDescent="0.25">
      <c r="B60" t="s">
        <v>206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7" tint="0.59999389629810485"/>
    <pageSetUpPr fitToPage="1"/>
  </sheetPr>
  <dimension ref="A1:P62"/>
  <sheetViews>
    <sheetView topLeftCell="A28" workbookViewId="0">
      <selection activeCell="M56" sqref="M56:O59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3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43269</v>
      </c>
      <c r="C3" s="10"/>
      <c r="D3" s="9">
        <v>43270</v>
      </c>
      <c r="E3" s="10"/>
      <c r="F3" s="9">
        <v>43271</v>
      </c>
      <c r="G3" s="10"/>
      <c r="H3" s="9">
        <v>43272</v>
      </c>
      <c r="I3" s="10"/>
      <c r="J3" s="9">
        <v>43273</v>
      </c>
      <c r="K3" s="10"/>
      <c r="L3" s="9">
        <v>43274</v>
      </c>
      <c r="M3" s="10"/>
      <c r="N3" s="9">
        <v>43275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379.2</v>
      </c>
      <c r="E4" s="12"/>
      <c r="F4" s="12"/>
      <c r="G4" s="12"/>
      <c r="H4" s="12">
        <f>830.45-282.5+52.7+70.35</f>
        <v>671.00000000000011</v>
      </c>
      <c r="I4" s="12">
        <v>1146.18</v>
      </c>
      <c r="J4" s="12"/>
      <c r="K4" s="12"/>
      <c r="L4" s="12"/>
      <c r="M4" s="12"/>
      <c r="N4" s="12"/>
      <c r="O4" s="12">
        <f>B4+D4+F4+H4+J4+L4+N4</f>
        <v>1050.2</v>
      </c>
      <c r="P4" s="12">
        <f>C4+E4+G4+I4+K4+M4</f>
        <v>1146.18</v>
      </c>
    </row>
    <row r="5" spans="1:16" ht="18.75" x14ac:dyDescent="0.3">
      <c r="A5" s="18" t="s">
        <v>11</v>
      </c>
      <c r="B5" s="13"/>
      <c r="C5" s="14"/>
      <c r="D5" s="14">
        <v>114.75</v>
      </c>
      <c r="E5" s="14"/>
      <c r="F5" s="14"/>
      <c r="G5" s="14"/>
      <c r="H5" s="14">
        <v>78.75</v>
      </c>
      <c r="I5" s="14"/>
      <c r="J5" s="14"/>
      <c r="K5" s="14"/>
      <c r="L5" s="14"/>
      <c r="M5" s="14"/>
      <c r="N5" s="14"/>
      <c r="O5" s="12">
        <f t="shared" ref="O5:O23" si="0">B5+D5+F5+H5+J5+L5+N5</f>
        <v>193.5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167</v>
      </c>
      <c r="I6" s="14">
        <v>150</v>
      </c>
      <c r="J6" s="14"/>
      <c r="K6" s="14"/>
      <c r="L6" s="14"/>
      <c r="M6" s="14"/>
      <c r="N6" s="14"/>
      <c r="O6" s="12">
        <f t="shared" si="0"/>
        <v>167</v>
      </c>
      <c r="P6" s="12">
        <f t="shared" si="1"/>
        <v>150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252.8</v>
      </c>
      <c r="G7" s="14"/>
      <c r="H7" s="14"/>
      <c r="I7" s="14"/>
      <c r="J7" s="14">
        <f>598.5-213.8-39</f>
        <v>345.7</v>
      </c>
      <c r="K7" s="14">
        <v>681.16</v>
      </c>
      <c r="L7" s="14"/>
      <c r="M7" s="14"/>
      <c r="N7" s="14"/>
      <c r="O7" s="12">
        <f t="shared" si="0"/>
        <v>598.5</v>
      </c>
      <c r="P7" s="12">
        <f t="shared" si="1"/>
        <v>681.16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281.14999999999998</v>
      </c>
      <c r="I9" s="14">
        <v>298.02</v>
      </c>
      <c r="J9" s="14"/>
      <c r="K9" s="14"/>
      <c r="L9" s="14"/>
      <c r="M9" s="14"/>
      <c r="N9" s="14"/>
      <c r="O9" s="12">
        <f t="shared" si="0"/>
        <v>281.14999999999998</v>
      </c>
      <c r="P9" s="12">
        <f t="shared" si="1"/>
        <v>298.02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329.3</v>
      </c>
      <c r="K13" s="14"/>
      <c r="L13" s="14"/>
      <c r="M13" s="14"/>
      <c r="N13" s="14"/>
      <c r="O13" s="12">
        <f t="shared" si="0"/>
        <v>329.3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100.06</v>
      </c>
      <c r="G14" s="14">
        <v>71.5</v>
      </c>
      <c r="H14" s="14"/>
      <c r="I14" s="14"/>
      <c r="J14" s="14"/>
      <c r="K14" s="14"/>
      <c r="L14" s="14"/>
      <c r="M14" s="14"/>
      <c r="N14" s="14"/>
      <c r="O14" s="12">
        <f t="shared" si="0"/>
        <v>100.06</v>
      </c>
      <c r="P14" s="12">
        <f t="shared" si="1"/>
        <v>71.5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251.8</v>
      </c>
      <c r="I15" s="14">
        <v>314.61</v>
      </c>
      <c r="J15" s="14"/>
      <c r="K15" s="14"/>
      <c r="L15" s="14"/>
      <c r="M15" s="14"/>
      <c r="N15" s="14"/>
      <c r="O15" s="12">
        <f t="shared" si="0"/>
        <v>251.8</v>
      </c>
      <c r="P15" s="12">
        <f t="shared" si="1"/>
        <v>314.61</v>
      </c>
    </row>
    <row r="16" spans="1:16" ht="18.75" x14ac:dyDescent="0.3">
      <c r="A16" s="19" t="s">
        <v>22</v>
      </c>
      <c r="B16" s="13"/>
      <c r="C16" s="14"/>
      <c r="D16" s="14">
        <v>154.25</v>
      </c>
      <c r="E16" s="14">
        <v>340</v>
      </c>
      <c r="F16" s="14"/>
      <c r="G16" s="14"/>
      <c r="H16" s="14">
        <v>140.25</v>
      </c>
      <c r="I16" s="14"/>
      <c r="J16" s="14"/>
      <c r="K16" s="14"/>
      <c r="L16" s="14"/>
      <c r="M16" s="14"/>
      <c r="N16" s="14"/>
      <c r="O16" s="12">
        <f t="shared" si="0"/>
        <v>294.5</v>
      </c>
      <c r="P16" s="12">
        <f t="shared" si="1"/>
        <v>340</v>
      </c>
    </row>
    <row r="17" spans="1:16" ht="18.75" x14ac:dyDescent="0.3">
      <c r="A17" s="18" t="s">
        <v>23</v>
      </c>
      <c r="B17" s="13"/>
      <c r="C17" s="14"/>
      <c r="D17" s="14">
        <v>165.4</v>
      </c>
      <c r="E17" s="14"/>
      <c r="F17" s="14"/>
      <c r="G17" s="14"/>
      <c r="H17" s="14">
        <v>204.8</v>
      </c>
      <c r="I17" s="14"/>
      <c r="J17" s="14"/>
      <c r="K17" s="14"/>
      <c r="L17" s="14"/>
      <c r="M17" s="14"/>
      <c r="N17" s="14"/>
      <c r="O17" s="12">
        <f t="shared" si="0"/>
        <v>370.20000000000005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146.5</v>
      </c>
      <c r="G18" s="14">
        <v>293.41000000000003</v>
      </c>
      <c r="H18" s="14"/>
      <c r="I18" s="14"/>
      <c r="J18" s="14">
        <f>785.35-146.5+63.29</f>
        <v>702.14</v>
      </c>
      <c r="K18" s="14">
        <v>293.41000000000003</v>
      </c>
      <c r="L18" s="14"/>
      <c r="M18" s="14"/>
      <c r="N18" s="14"/>
      <c r="O18" s="12">
        <f t="shared" si="0"/>
        <v>848.64</v>
      </c>
      <c r="P18" s="12">
        <f t="shared" si="1"/>
        <v>586.82000000000005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>
        <v>687</v>
      </c>
      <c r="K23" s="17">
        <v>687</v>
      </c>
      <c r="L23" s="17"/>
      <c r="M23" s="17"/>
      <c r="N23" s="17"/>
      <c r="O23" s="49">
        <f t="shared" si="0"/>
        <v>687</v>
      </c>
      <c r="P23" s="49">
        <f t="shared" si="1"/>
        <v>687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813.6</v>
      </c>
      <c r="E24" s="21">
        <f t="shared" si="2"/>
        <v>340</v>
      </c>
      <c r="F24" s="21">
        <f t="shared" si="2"/>
        <v>499.36</v>
      </c>
      <c r="G24" s="21">
        <f t="shared" si="2"/>
        <v>364.91</v>
      </c>
      <c r="H24" s="21">
        <f t="shared" si="2"/>
        <v>1794.75</v>
      </c>
      <c r="I24" s="21">
        <f t="shared" si="2"/>
        <v>1908.81</v>
      </c>
      <c r="J24" s="21">
        <f t="shared" si="2"/>
        <v>2064.14</v>
      </c>
      <c r="K24" s="21">
        <f t="shared" si="2"/>
        <v>1661.57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5171.8500000000004</v>
      </c>
      <c r="P24" s="50">
        <f t="shared" si="2"/>
        <v>4275.2900000000009</v>
      </c>
    </row>
    <row r="25" spans="1:16" ht="15.75" thickBot="1" x14ac:dyDescent="0.3">
      <c r="N25" t="s">
        <v>55</v>
      </c>
      <c r="O25" s="50">
        <f>SUM(B24+D24+F24+H24+J24+L24+N24)</f>
        <v>5171.8500000000004</v>
      </c>
      <c r="P25" s="50">
        <f>SUM(C24+E24+G24+I24+K24+M24)</f>
        <v>4275.29</v>
      </c>
    </row>
    <row r="26" spans="1:16" ht="15.75" thickBot="1" x14ac:dyDescent="0.3">
      <c r="A26" t="s">
        <v>27</v>
      </c>
      <c r="B26" s="22">
        <f>O24</f>
        <v>5171.8500000000004</v>
      </c>
      <c r="D26" s="5" t="s">
        <v>30</v>
      </c>
      <c r="E26" s="47">
        <f>B50*1.5</f>
        <v>5319.1301999999996</v>
      </c>
    </row>
    <row r="27" spans="1:16" x14ac:dyDescent="0.25">
      <c r="A27" t="s">
        <v>28</v>
      </c>
      <c r="B27" s="22">
        <f>P24</f>
        <v>4275.2900000000009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5171.8500000000004</v>
      </c>
      <c r="H32" s="37"/>
      <c r="I32" s="26" t="s">
        <v>50</v>
      </c>
      <c r="J32" s="44">
        <f>'Sem 24'!J32+'Sem 25'!F32</f>
        <v>15703.41</v>
      </c>
      <c r="L32" s="37"/>
      <c r="M32" s="27" t="s">
        <v>50</v>
      </c>
      <c r="N32" s="45">
        <f>'Sem 24'!N32+'Sem 25'!F32</f>
        <v>113852.89</v>
      </c>
    </row>
    <row r="33" spans="1:15" x14ac:dyDescent="0.25">
      <c r="A33" t="s">
        <v>33</v>
      </c>
      <c r="B33" s="28">
        <f>IF(C33="","",(C33*1.16)+3.75+10)</f>
        <v>2002.0247999999999</v>
      </c>
      <c r="C33" s="34">
        <v>1714.03</v>
      </c>
      <c r="D33" s="37"/>
      <c r="E33" s="25" t="s">
        <v>51</v>
      </c>
      <c r="F33" s="42">
        <f>B50</f>
        <v>3546.0868</v>
      </c>
      <c r="H33" s="37"/>
      <c r="I33" s="26" t="s">
        <v>51</v>
      </c>
      <c r="J33" s="44">
        <f>'Sem 24'!J33+'Sem 25'!F33</f>
        <v>10751.3796</v>
      </c>
      <c r="L33" s="37"/>
      <c r="M33" s="27" t="s">
        <v>51</v>
      </c>
      <c r="N33" s="45">
        <f>'Sem 24'!N33+'Sem 25'!F33</f>
        <v>80663.5484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24'!J34+'Sem 25'!F34</f>
        <v>0</v>
      </c>
      <c r="L34" s="37"/>
      <c r="M34" s="27"/>
      <c r="N34" s="45">
        <f>'Sem 24'!N34+'Sem 25'!F34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1625.7632000000003</v>
      </c>
      <c r="H35" s="37"/>
      <c r="I35" s="26" t="s">
        <v>52</v>
      </c>
      <c r="J35" s="44">
        <f>'Sem 24'!J35+'Sem 25'!F35</f>
        <v>4952.0303999999996</v>
      </c>
      <c r="L35" s="37"/>
      <c r="M35" s="27" t="s">
        <v>52</v>
      </c>
      <c r="N35" s="45">
        <f>'Sem 24'!N35+'Sem 25'!F35</f>
        <v>33189.3416</v>
      </c>
    </row>
    <row r="36" spans="1:15" x14ac:dyDescent="0.25">
      <c r="A36" t="s">
        <v>36</v>
      </c>
      <c r="B36" s="31">
        <v>856.28</v>
      </c>
      <c r="D36" s="37"/>
      <c r="E36" s="25" t="s">
        <v>53</v>
      </c>
      <c r="F36" s="43">
        <f>(F32-F33)/F33</f>
        <v>0.45846683730358778</v>
      </c>
      <c r="H36" s="37"/>
      <c r="I36" s="26" t="s">
        <v>53</v>
      </c>
      <c r="J36" s="52">
        <f>(J32-J33)/J33</f>
        <v>0.4605948803072677</v>
      </c>
      <c r="L36" s="37"/>
      <c r="M36" s="27" t="s">
        <v>53</v>
      </c>
      <c r="N36" s="53">
        <f>(N32-N33)/N33</f>
        <v>0.41145402425663685</v>
      </c>
    </row>
    <row r="37" spans="1:15" x14ac:dyDescent="0.25">
      <c r="A37" t="s">
        <v>37</v>
      </c>
      <c r="B37" s="31">
        <v>430.15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219.75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>
        <v>39</v>
      </c>
      <c r="O42" s="125"/>
    </row>
    <row r="43" spans="1:15" x14ac:dyDescent="0.25">
      <c r="A43" t="s">
        <v>40</v>
      </c>
      <c r="B43" s="21">
        <f>N49</f>
        <v>257.63200000000001</v>
      </c>
      <c r="D43" s="37"/>
      <c r="H43" s="37"/>
      <c r="L43" s="37"/>
      <c r="M43" s="124"/>
      <c r="N43" s="129">
        <v>63.29</v>
      </c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2073.84</v>
      </c>
      <c r="H48" s="37"/>
      <c r="I48" s="38" t="s">
        <v>61</v>
      </c>
      <c r="J48" s="38"/>
      <c r="K48" s="39">
        <f>F32</f>
        <v>5171.8500000000004</v>
      </c>
      <c r="L48" s="37"/>
      <c r="M48" s="124" t="s">
        <v>219</v>
      </c>
      <c r="N48" s="129">
        <f>SUM(N41:N47)</f>
        <v>322.04000000000002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257.63200000000001</v>
      </c>
      <c r="O49" s="125"/>
    </row>
    <row r="50" spans="1:15" ht="15.75" thickBot="1" x14ac:dyDescent="0.3">
      <c r="A50" t="s">
        <v>42</v>
      </c>
      <c r="B50" s="33">
        <f>SUM(B33:B48)</f>
        <v>3546.0868</v>
      </c>
      <c r="D50" s="37"/>
      <c r="G50" s="40"/>
      <c r="H50" s="37"/>
      <c r="I50" t="s">
        <v>62</v>
      </c>
      <c r="J50" s="21">
        <v>4522.8500000000004</v>
      </c>
      <c r="K50" s="41">
        <f>J50/K48</f>
        <v>0.87451298858242221</v>
      </c>
      <c r="L50" s="37"/>
      <c r="M50" s="124" t="s">
        <v>221</v>
      </c>
      <c r="N50" s="129">
        <f>N48-N49</f>
        <v>64.408000000000015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2073.84</v>
      </c>
      <c r="H51" s="37"/>
      <c r="I51" t="s">
        <v>63</v>
      </c>
      <c r="J51" s="22">
        <f>K48-J50</f>
        <v>649</v>
      </c>
      <c r="K51" s="41">
        <f>J51/K48</f>
        <v>0.12548701141757784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1425.11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B37*16%</f>
        <v>68.823999999999998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448.82</v>
      </c>
      <c r="H55" s="37"/>
      <c r="L55" s="37"/>
    </row>
    <row r="56" spans="1:15" ht="15.75" thickBot="1" x14ac:dyDescent="0.3">
      <c r="A56" t="s">
        <v>44</v>
      </c>
      <c r="B56" s="33">
        <v>5816.08</v>
      </c>
      <c r="D56" s="37"/>
      <c r="H56" s="37"/>
      <c r="L56" s="37"/>
      <c r="M56" t="s">
        <v>236</v>
      </c>
      <c r="N56" s="65">
        <f>'Sem 23'!N55+'Sem 24'!F35+'Sem 25'!F35</f>
        <v>46137.711200000012</v>
      </c>
    </row>
    <row r="57" spans="1:15" ht="15.75" thickBot="1" x14ac:dyDescent="0.3">
      <c r="A57" t="s">
        <v>45</v>
      </c>
      <c r="B57" s="21">
        <f>'Sem 24'!B56</f>
        <v>5762.43</v>
      </c>
      <c r="M57" t="s">
        <v>209</v>
      </c>
      <c r="N57" s="113">
        <f>FRAIS!$G$44*_xlfn.ISOWEEKNUM($L$3)</f>
        <v>23397.793269230766</v>
      </c>
    </row>
    <row r="58" spans="1:15" ht="16.5" thickBot="1" x14ac:dyDescent="0.3">
      <c r="B58" s="21"/>
      <c r="E58" t="s">
        <v>65</v>
      </c>
      <c r="G58" s="48">
        <f>SUM(G48:G50)+SUM(G53:G55)</f>
        <v>3947.77</v>
      </c>
      <c r="O58" t="s">
        <v>271</v>
      </c>
    </row>
    <row r="59" spans="1:15" x14ac:dyDescent="0.25">
      <c r="A59" t="s">
        <v>46</v>
      </c>
      <c r="B59" s="21">
        <f>B56-B57</f>
        <v>53.649999999999636</v>
      </c>
      <c r="M59" t="s">
        <v>210</v>
      </c>
      <c r="N59" s="113">
        <f>N56-N57</f>
        <v>22739.917930769247</v>
      </c>
      <c r="O59" s="21">
        <f>N59/_xlfn.ISOWEEKNUM($L$3)</f>
        <v>909.59671723076985</v>
      </c>
    </row>
    <row r="62" spans="1:15" x14ac:dyDescent="0.25">
      <c r="J62" s="65"/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7" tint="0.59999389629810485"/>
    <pageSetUpPr fitToPage="1"/>
  </sheetPr>
  <dimension ref="A1:P60"/>
  <sheetViews>
    <sheetView topLeftCell="A16" workbookViewId="0">
      <selection activeCell="H13" sqref="H13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3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43276</v>
      </c>
      <c r="C3" s="10"/>
      <c r="D3" s="9">
        <v>43277</v>
      </c>
      <c r="E3" s="10"/>
      <c r="F3" s="9">
        <v>43278</v>
      </c>
      <c r="G3" s="10"/>
      <c r="H3" s="9">
        <v>43279</v>
      </c>
      <c r="I3" s="10"/>
      <c r="J3" s="9">
        <v>43280</v>
      </c>
      <c r="K3" s="10"/>
      <c r="L3" s="9">
        <v>43281</v>
      </c>
      <c r="M3" s="10"/>
      <c r="N3" s="9">
        <v>43282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579</v>
      </c>
      <c r="E4" s="12"/>
      <c r="F4" s="12"/>
      <c r="G4" s="12"/>
      <c r="H4" s="12">
        <f>914.1-579+31.96</f>
        <v>367.06</v>
      </c>
      <c r="I4" s="12">
        <v>1007.61</v>
      </c>
      <c r="J4" s="12"/>
      <c r="K4" s="12"/>
      <c r="L4" s="12"/>
      <c r="M4" s="12"/>
      <c r="N4" s="12"/>
      <c r="O4" s="12">
        <f>B4+D4+F4+H4+J4+L4+N4</f>
        <v>946.06</v>
      </c>
      <c r="P4" s="12">
        <f>C4+E4+G4+I4+K4+M4</f>
        <v>1007.61</v>
      </c>
    </row>
    <row r="5" spans="1:16" ht="18.75" x14ac:dyDescent="0.3">
      <c r="A5" s="18" t="s">
        <v>11</v>
      </c>
      <c r="B5" s="13"/>
      <c r="C5" s="14"/>
      <c r="D5" s="14">
        <v>58.5</v>
      </c>
      <c r="E5" s="14"/>
      <c r="F5" s="14"/>
      <c r="G5" s="14"/>
      <c r="H5" s="14">
        <v>66.5</v>
      </c>
      <c r="I5" s="14"/>
      <c r="J5" s="14"/>
      <c r="K5" s="14"/>
      <c r="L5" s="14"/>
      <c r="M5" s="14"/>
      <c r="N5" s="14"/>
      <c r="O5" s="12">
        <f t="shared" ref="O5:O23" si="0">B5+D5+F5+H5+J5+L5+N5</f>
        <v>125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477.05</v>
      </c>
      <c r="E6" s="14">
        <v>166.71</v>
      </c>
      <c r="F6" s="14"/>
      <c r="G6" s="14"/>
      <c r="H6" s="14">
        <v>220.5</v>
      </c>
      <c r="I6" s="14">
        <v>150</v>
      </c>
      <c r="J6" s="14"/>
      <c r="K6" s="14"/>
      <c r="L6" s="14"/>
      <c r="M6" s="14"/>
      <c r="N6" s="14"/>
      <c r="O6" s="12">
        <f t="shared" si="0"/>
        <v>697.55</v>
      </c>
      <c r="P6" s="12">
        <f t="shared" si="1"/>
        <v>316.71000000000004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304.89999999999998</v>
      </c>
      <c r="G7" s="14"/>
      <c r="H7" s="14"/>
      <c r="I7" s="14"/>
      <c r="J7" s="14">
        <f>467.9-304.9</f>
        <v>163</v>
      </c>
      <c r="K7" s="14">
        <v>495.97</v>
      </c>
      <c r="L7" s="14"/>
      <c r="M7" s="14"/>
      <c r="N7" s="14"/>
      <c r="O7" s="12">
        <f t="shared" si="0"/>
        <v>467.9</v>
      </c>
      <c r="P7" s="12">
        <f t="shared" si="1"/>
        <v>495.97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204.2</v>
      </c>
      <c r="G9" s="14"/>
      <c r="H9" s="14">
        <f>334.65-204.2</f>
        <v>130.44999999999999</v>
      </c>
      <c r="I9" s="14">
        <v>354.73</v>
      </c>
      <c r="J9" s="14"/>
      <c r="K9" s="14"/>
      <c r="L9" s="14"/>
      <c r="M9" s="14"/>
      <c r="N9" s="14"/>
      <c r="O9" s="12">
        <f t="shared" si="0"/>
        <v>334.65</v>
      </c>
      <c r="P9" s="12">
        <f t="shared" si="1"/>
        <v>354.73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393.95</v>
      </c>
      <c r="K13" s="14"/>
      <c r="L13" s="14"/>
      <c r="M13" s="14"/>
      <c r="N13" s="14"/>
      <c r="O13" s="12">
        <f t="shared" si="0"/>
        <v>393.95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86.6</v>
      </c>
      <c r="G14" s="14">
        <v>109.7</v>
      </c>
      <c r="H14" s="14"/>
      <c r="I14" s="14"/>
      <c r="J14" s="14">
        <f>127-86.6</f>
        <v>40.400000000000006</v>
      </c>
      <c r="K14" s="14"/>
      <c r="L14" s="14"/>
      <c r="M14" s="14"/>
      <c r="N14" s="14"/>
      <c r="O14" s="12">
        <f t="shared" si="0"/>
        <v>127</v>
      </c>
      <c r="P14" s="12">
        <f t="shared" si="1"/>
        <v>109.7</v>
      </c>
    </row>
    <row r="15" spans="1:16" ht="18.75" x14ac:dyDescent="0.3">
      <c r="A15" s="19" t="s">
        <v>21</v>
      </c>
      <c r="B15" s="13"/>
      <c r="C15" s="14"/>
      <c r="D15" s="14">
        <v>374.3</v>
      </c>
      <c r="E15" s="14">
        <v>266.20999999999998</v>
      </c>
      <c r="F15" s="14"/>
      <c r="G15" s="14"/>
      <c r="H15" s="14">
        <v>210.7</v>
      </c>
      <c r="I15" s="14">
        <v>166.24</v>
      </c>
      <c r="J15" s="14"/>
      <c r="K15" s="14"/>
      <c r="L15" s="14"/>
      <c r="M15" s="14"/>
      <c r="N15" s="14"/>
      <c r="O15" s="12">
        <f t="shared" si="0"/>
        <v>585</v>
      </c>
      <c r="P15" s="12">
        <f t="shared" si="1"/>
        <v>432.45</v>
      </c>
    </row>
    <row r="16" spans="1:16" ht="18.75" x14ac:dyDescent="0.3">
      <c r="A16" s="19" t="s">
        <v>22</v>
      </c>
      <c r="B16" s="13"/>
      <c r="C16" s="14"/>
      <c r="D16" s="14">
        <v>110.75</v>
      </c>
      <c r="E16" s="14">
        <f>50+240</f>
        <v>290</v>
      </c>
      <c r="F16" s="14"/>
      <c r="G16" s="14"/>
      <c r="H16" s="14">
        <v>175.9</v>
      </c>
      <c r="I16" s="14"/>
      <c r="J16" s="14"/>
      <c r="K16" s="14"/>
      <c r="L16" s="14"/>
      <c r="M16" s="14"/>
      <c r="N16" s="14"/>
      <c r="O16" s="12">
        <f t="shared" si="0"/>
        <v>286.64999999999998</v>
      </c>
      <c r="P16" s="12">
        <f t="shared" si="1"/>
        <v>290</v>
      </c>
    </row>
    <row r="17" spans="1:16" ht="18.75" x14ac:dyDescent="0.3">
      <c r="A17" s="18" t="s">
        <v>23</v>
      </c>
      <c r="B17" s="13"/>
      <c r="C17" s="14"/>
      <c r="D17" s="14">
        <v>168.7</v>
      </c>
      <c r="E17" s="14"/>
      <c r="F17" s="14"/>
      <c r="G17" s="14"/>
      <c r="H17" s="14">
        <v>323.2</v>
      </c>
      <c r="I17" s="14"/>
      <c r="J17" s="14"/>
      <c r="K17" s="14"/>
      <c r="L17" s="14"/>
      <c r="M17" s="14"/>
      <c r="N17" s="14"/>
      <c r="O17" s="12">
        <f t="shared" si="0"/>
        <v>491.9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203.65</v>
      </c>
      <c r="G18" s="14"/>
      <c r="H18" s="14"/>
      <c r="I18" s="14"/>
      <c r="J18" s="14">
        <f>286.25-203.65</f>
        <v>82.6</v>
      </c>
      <c r="K18" s="14"/>
      <c r="L18" s="14"/>
      <c r="M18" s="14"/>
      <c r="N18" s="14"/>
      <c r="O18" s="12">
        <f t="shared" si="0"/>
        <v>286.25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129</v>
      </c>
      <c r="G23" s="17">
        <v>129</v>
      </c>
      <c r="H23" s="17">
        <v>115.9</v>
      </c>
      <c r="I23" s="17">
        <v>115.9</v>
      </c>
      <c r="J23" s="17">
        <v>73</v>
      </c>
      <c r="K23" s="17">
        <v>73</v>
      </c>
      <c r="L23" s="17"/>
      <c r="M23" s="17"/>
      <c r="N23" s="17"/>
      <c r="O23" s="49">
        <f t="shared" si="0"/>
        <v>317.89999999999998</v>
      </c>
      <c r="P23" s="49">
        <f t="shared" si="1"/>
        <v>317.89999999999998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1768.3</v>
      </c>
      <c r="E24" s="21">
        <f t="shared" si="2"/>
        <v>722.92</v>
      </c>
      <c r="F24" s="21">
        <f t="shared" si="2"/>
        <v>928.34999999999991</v>
      </c>
      <c r="G24" s="21">
        <f t="shared" si="2"/>
        <v>238.7</v>
      </c>
      <c r="H24" s="21">
        <f t="shared" si="2"/>
        <v>1610.2100000000003</v>
      </c>
      <c r="I24" s="21">
        <f t="shared" si="2"/>
        <v>1794.4800000000002</v>
      </c>
      <c r="J24" s="21">
        <f t="shared" si="2"/>
        <v>752.95</v>
      </c>
      <c r="K24" s="21">
        <f t="shared" si="2"/>
        <v>568.97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5059.8099999999995</v>
      </c>
      <c r="P24" s="50">
        <f t="shared" si="2"/>
        <v>3325.07</v>
      </c>
    </row>
    <row r="25" spans="1:16" ht="15.75" thickBot="1" x14ac:dyDescent="0.3">
      <c r="N25" t="s">
        <v>55</v>
      </c>
      <c r="O25" s="50">
        <f>SUM(B24+D24+F24+H24+J24+L24+N24)</f>
        <v>5059.8099999999995</v>
      </c>
      <c r="P25" s="50">
        <f>SUM(C24+E24+G24+I24+K24+M24)</f>
        <v>3325.0700000000006</v>
      </c>
    </row>
    <row r="26" spans="1:16" ht="15.75" thickBot="1" x14ac:dyDescent="0.3">
      <c r="A26" t="s">
        <v>27</v>
      </c>
      <c r="B26" s="22">
        <f>O24</f>
        <v>5059.8099999999995</v>
      </c>
      <c r="D26" s="5" t="s">
        <v>30</v>
      </c>
      <c r="E26" s="47">
        <f>B50*1.5</f>
        <v>6186.9444000000003</v>
      </c>
    </row>
    <row r="27" spans="1:16" x14ac:dyDescent="0.25">
      <c r="A27" t="s">
        <v>28</v>
      </c>
      <c r="B27" s="22">
        <f>P24</f>
        <v>3325.07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5059.8099999999995</v>
      </c>
      <c r="H32" s="37"/>
      <c r="I32" s="26" t="s">
        <v>50</v>
      </c>
      <c r="J32" s="44">
        <f>'Sem 25'!J32+'Sem 26'!F32</f>
        <v>20763.22</v>
      </c>
      <c r="L32" s="37"/>
      <c r="M32" s="27" t="s">
        <v>50</v>
      </c>
      <c r="N32" s="45">
        <f>'Sem 25'!N32+'Sem 26'!F32</f>
        <v>118912.7</v>
      </c>
    </row>
    <row r="33" spans="1:15" x14ac:dyDescent="0.25">
      <c r="A33" t="s">
        <v>33</v>
      </c>
      <c r="B33" s="28">
        <f>IF(C33="","",(C33*1.16)+3.75+10)</f>
        <v>1506.7048</v>
      </c>
      <c r="C33" s="34">
        <v>1287.03</v>
      </c>
      <c r="D33" s="37"/>
      <c r="E33" s="25" t="s">
        <v>51</v>
      </c>
      <c r="F33" s="42">
        <f>B50</f>
        <v>4124.6296000000002</v>
      </c>
      <c r="H33" s="37"/>
      <c r="I33" s="26" t="s">
        <v>51</v>
      </c>
      <c r="J33" s="44">
        <f>'Sem 25'!J33+'Sem 26'!F33</f>
        <v>14876.0092</v>
      </c>
      <c r="L33" s="37"/>
      <c r="M33" s="27" t="s">
        <v>51</v>
      </c>
      <c r="N33" s="45">
        <f>'Sem 25'!N33+'Sem 26'!F33</f>
        <v>84788.178</v>
      </c>
    </row>
    <row r="34" spans="1:15" x14ac:dyDescent="0.25">
      <c r="A34" t="s">
        <v>34</v>
      </c>
      <c r="B34" s="29">
        <f>IF(C34="","",(C34*1.16)+3.75+10)</f>
        <v>1812.5967999999998</v>
      </c>
      <c r="C34" s="35">
        <v>1550.73</v>
      </c>
      <c r="D34" s="37"/>
      <c r="E34" s="25"/>
      <c r="F34" s="25"/>
      <c r="H34" s="37"/>
      <c r="I34" s="26"/>
      <c r="J34" s="44">
        <f>'Sem 25'!J34+'Sem 26'!F34</f>
        <v>0</v>
      </c>
      <c r="L34" s="37"/>
      <c r="M34" s="27"/>
      <c r="N34" s="45">
        <f>'Sem 25'!N34+'Sem 26'!F34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935.18039999999928</v>
      </c>
      <c r="H35" s="37"/>
      <c r="I35" s="26" t="s">
        <v>52</v>
      </c>
      <c r="J35" s="44">
        <f>'Sem 25'!J35+'Sem 26'!F35</f>
        <v>5887.2107999999989</v>
      </c>
      <c r="L35" s="37"/>
      <c r="M35" s="27" t="s">
        <v>52</v>
      </c>
      <c r="N35" s="45">
        <f>'Sem 25'!N35+'Sem 26'!F35</f>
        <v>34124.521999999997</v>
      </c>
    </row>
    <row r="36" spans="1:15" x14ac:dyDescent="0.25">
      <c r="A36" t="s">
        <v>36</v>
      </c>
      <c r="B36" s="31">
        <v>779.76</v>
      </c>
      <c r="D36" s="37"/>
      <c r="E36" s="25" t="s">
        <v>53</v>
      </c>
      <c r="F36" s="43">
        <f>(F32-F33)/F33</f>
        <v>0.22673075904803652</v>
      </c>
      <c r="H36" s="37"/>
      <c r="I36" s="26" t="s">
        <v>53</v>
      </c>
      <c r="J36" s="52">
        <f>(J32-J33)/J33</f>
        <v>0.39575202736497372</v>
      </c>
      <c r="L36" s="37"/>
      <c r="M36" s="27" t="s">
        <v>53</v>
      </c>
      <c r="N36" s="53">
        <f>(N32-N33)/N33</f>
        <v>0.40246792424292921</v>
      </c>
    </row>
    <row r="37" spans="1:15" x14ac:dyDescent="0.25">
      <c r="A37" t="s">
        <v>37</v>
      </c>
      <c r="B37" s="31"/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31.96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 t="s">
        <v>206</v>
      </c>
      <c r="O42" s="125"/>
    </row>
    <row r="43" spans="1:15" x14ac:dyDescent="0.25">
      <c r="A43" t="s">
        <v>40</v>
      </c>
      <c r="B43" s="21">
        <f>N49</f>
        <v>25.568000000000001</v>
      </c>
      <c r="D43" s="37"/>
      <c r="E43" t="s">
        <v>134</v>
      </c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1514.2</v>
      </c>
      <c r="H48" s="37"/>
      <c r="I48" s="38" t="s">
        <v>61</v>
      </c>
      <c r="J48" s="38"/>
      <c r="K48" s="39">
        <f>F32</f>
        <v>5059.8099999999995</v>
      </c>
      <c r="L48" s="37"/>
      <c r="M48" s="124" t="s">
        <v>219</v>
      </c>
      <c r="N48" s="129">
        <f>SUM(N41:N47)</f>
        <v>31.96</v>
      </c>
      <c r="O48" s="125"/>
    </row>
    <row r="49" spans="1:15" ht="15.75" thickBot="1" x14ac:dyDescent="0.3">
      <c r="B49" s="21"/>
      <c r="D49" s="37"/>
      <c r="G49" s="40">
        <v>1295.58</v>
      </c>
      <c r="H49" s="37"/>
      <c r="L49" s="37"/>
      <c r="M49" s="124" t="s">
        <v>220</v>
      </c>
      <c r="N49" s="129">
        <f>N48*0.8</f>
        <v>25.568000000000001</v>
      </c>
      <c r="O49" s="125"/>
    </row>
    <row r="50" spans="1:15" ht="15.75" thickBot="1" x14ac:dyDescent="0.3">
      <c r="A50" t="s">
        <v>42</v>
      </c>
      <c r="B50" s="33">
        <f>SUM(B33:B48)</f>
        <v>4124.6296000000002</v>
      </c>
      <c r="D50" s="37"/>
      <c r="G50" s="40"/>
      <c r="H50" s="37"/>
      <c r="I50" t="s">
        <v>62</v>
      </c>
      <c r="K50" s="41">
        <f>J50/K48</f>
        <v>0</v>
      </c>
      <c r="L50" s="37"/>
      <c r="M50" s="124" t="s">
        <v>221</v>
      </c>
      <c r="N50" s="129">
        <f>N48-N49</f>
        <v>6.3919999999999995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2809.7799999999997</v>
      </c>
      <c r="H51" s="37"/>
      <c r="I51" t="s">
        <v>63</v>
      </c>
      <c r="J51" s="22">
        <f>K48-J50</f>
        <v>5059.8099999999995</v>
      </c>
      <c r="K51" s="41">
        <f>J51/K48</f>
        <v>1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369.78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B37*16%</f>
        <v>0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/>
      <c r="H55" s="37"/>
      <c r="L55" s="37"/>
    </row>
    <row r="56" spans="1:15" ht="15.75" thickBot="1" x14ac:dyDescent="0.3">
      <c r="A56" t="s">
        <v>44</v>
      </c>
      <c r="B56" s="33"/>
      <c r="D56" s="37"/>
      <c r="H56" s="37"/>
      <c r="L56" s="37"/>
    </row>
    <row r="57" spans="1:15" ht="15.75" thickBot="1" x14ac:dyDescent="0.3">
      <c r="A57" t="s">
        <v>45</v>
      </c>
      <c r="B57" s="21">
        <f>'Sem 25'!B56</f>
        <v>5816.08</v>
      </c>
      <c r="M57" t="s">
        <v>236</v>
      </c>
      <c r="N57" s="65">
        <f>'Sem 25'!N56+'Sem 26'!F35</f>
        <v>47072.89160000001</v>
      </c>
    </row>
    <row r="58" spans="1:15" ht="16.5" thickBot="1" x14ac:dyDescent="0.3">
      <c r="B58" s="21"/>
      <c r="E58" t="s">
        <v>65</v>
      </c>
      <c r="G58" s="48">
        <f>SUM(G48:G50)+SUM(G53:G55)</f>
        <v>3179.5599999999995</v>
      </c>
      <c r="M58" t="s">
        <v>209</v>
      </c>
      <c r="N58" s="113">
        <f>FRAIS!$G$44*_xlfn.ISOWEEKNUM($L$3)</f>
        <v>24333.704999999998</v>
      </c>
    </row>
    <row r="59" spans="1:15" x14ac:dyDescent="0.25">
      <c r="A59" t="s">
        <v>46</v>
      </c>
      <c r="B59" s="21"/>
      <c r="O59" t="s">
        <v>271</v>
      </c>
    </row>
    <row r="60" spans="1:15" x14ac:dyDescent="0.25">
      <c r="M60" t="s">
        <v>210</v>
      </c>
      <c r="N60" s="113">
        <f>N57-N58</f>
        <v>22739.186600000012</v>
      </c>
      <c r="O60" s="21">
        <f>N60/_xlfn.ISOWEEKNUM($L$3)</f>
        <v>874.58410000000049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4" tint="0.59999389629810485"/>
    <pageSetUpPr fitToPage="1"/>
  </sheetPr>
  <dimension ref="A1:P59"/>
  <sheetViews>
    <sheetView topLeftCell="A28" workbookViewId="0">
      <selection activeCell="M56" sqref="M56:O59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43283</v>
      </c>
      <c r="C3" s="10"/>
      <c r="D3" s="9">
        <v>43284</v>
      </c>
      <c r="E3" s="10"/>
      <c r="F3" s="9">
        <v>43285</v>
      </c>
      <c r="G3" s="10"/>
      <c r="H3" s="9">
        <v>43286</v>
      </c>
      <c r="I3" s="10"/>
      <c r="J3" s="9">
        <v>43287</v>
      </c>
      <c r="K3" s="10"/>
      <c r="L3" s="9">
        <v>43288</v>
      </c>
      <c r="M3" s="10"/>
      <c r="N3" s="9">
        <v>43289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674.72</v>
      </c>
      <c r="E4" s="12"/>
      <c r="F4" s="12"/>
      <c r="G4" s="12"/>
      <c r="H4" s="12">
        <f>848.35-577.35+117.59-97.17</f>
        <v>291.42</v>
      </c>
      <c r="I4" s="12">
        <v>1041.53</v>
      </c>
      <c r="J4" s="12"/>
      <c r="K4" s="12"/>
      <c r="L4" s="12"/>
      <c r="M4" s="12"/>
      <c r="N4" s="12"/>
      <c r="O4" s="12">
        <f>B4+D4+F4+H4+J4+L4+N4</f>
        <v>966.1400000000001</v>
      </c>
      <c r="P4" s="12">
        <f>C4+E4+G4+I4+K4+M4</f>
        <v>1041.53</v>
      </c>
    </row>
    <row r="5" spans="1:16" ht="18.75" x14ac:dyDescent="0.3">
      <c r="A5" s="18" t="s">
        <v>11</v>
      </c>
      <c r="B5" s="13"/>
      <c r="C5" s="14"/>
      <c r="D5" s="14">
        <v>54.3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54.3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203.7</v>
      </c>
      <c r="E6" s="14">
        <f>150+77.02</f>
        <v>227.01999999999998</v>
      </c>
      <c r="F6" s="14"/>
      <c r="G6" s="14"/>
      <c r="H6" s="14">
        <v>290.75</v>
      </c>
      <c r="I6" s="14">
        <v>100</v>
      </c>
      <c r="J6" s="14"/>
      <c r="K6" s="14"/>
      <c r="L6" s="14"/>
      <c r="M6" s="14"/>
      <c r="N6" s="14"/>
      <c r="O6" s="12">
        <f t="shared" si="0"/>
        <v>494.45</v>
      </c>
      <c r="P6" s="12">
        <f t="shared" si="1"/>
        <v>327.02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394.05</v>
      </c>
      <c r="G7" s="14"/>
      <c r="H7" s="14"/>
      <c r="I7" s="14"/>
      <c r="J7" s="14">
        <f>521.75-394.05</f>
        <v>127.69999999999999</v>
      </c>
      <c r="K7" s="14">
        <v>553.05999999999995</v>
      </c>
      <c r="L7" s="14"/>
      <c r="M7" s="14"/>
      <c r="N7" s="14"/>
      <c r="O7" s="12">
        <f t="shared" si="0"/>
        <v>521.75</v>
      </c>
      <c r="P7" s="12">
        <f t="shared" si="1"/>
        <v>553.05999999999995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188.5</v>
      </c>
      <c r="G9" s="14"/>
      <c r="H9" s="14">
        <f>254-188.5</f>
        <v>65.5</v>
      </c>
      <c r="I9" s="14">
        <v>269.24</v>
      </c>
      <c r="J9" s="14"/>
      <c r="K9" s="14"/>
      <c r="L9" s="14"/>
      <c r="M9" s="14"/>
      <c r="N9" s="14"/>
      <c r="O9" s="12">
        <f t="shared" si="0"/>
        <v>254</v>
      </c>
      <c r="P9" s="12">
        <f t="shared" si="1"/>
        <v>269.24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>
        <v>281.27999999999997</v>
      </c>
      <c r="I13" s="14"/>
      <c r="J13" s="14">
        <v>585.95000000000005</v>
      </c>
      <c r="K13" s="14"/>
      <c r="L13" s="14"/>
      <c r="M13" s="14"/>
      <c r="N13" s="14"/>
      <c r="O13" s="12">
        <f t="shared" si="0"/>
        <v>867.23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137.80000000000001</v>
      </c>
      <c r="K14" s="14">
        <v>146.07</v>
      </c>
      <c r="L14" s="14"/>
      <c r="M14" s="14"/>
      <c r="N14" s="14"/>
      <c r="O14" s="12">
        <f t="shared" si="0"/>
        <v>137.80000000000001</v>
      </c>
      <c r="P14" s="12">
        <f t="shared" si="1"/>
        <v>146.07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332.4</v>
      </c>
      <c r="I15" s="14">
        <v>620.1</v>
      </c>
      <c r="J15" s="14"/>
      <c r="K15" s="14"/>
      <c r="L15" s="14"/>
      <c r="M15" s="14"/>
      <c r="N15" s="14"/>
      <c r="O15" s="12">
        <f t="shared" si="0"/>
        <v>332.4</v>
      </c>
      <c r="P15" s="12">
        <f t="shared" si="1"/>
        <v>620.1</v>
      </c>
    </row>
    <row r="16" spans="1:16" ht="18.75" x14ac:dyDescent="0.3">
      <c r="A16" s="19" t="s">
        <v>22</v>
      </c>
      <c r="B16" s="13"/>
      <c r="C16" s="14"/>
      <c r="D16" s="14">
        <v>69.2</v>
      </c>
      <c r="E16" s="14">
        <f>303.85+72.17</f>
        <v>376.02000000000004</v>
      </c>
      <c r="F16" s="14"/>
      <c r="G16" s="14"/>
      <c r="H16" s="14">
        <v>91.75</v>
      </c>
      <c r="I16" s="14"/>
      <c r="J16" s="14"/>
      <c r="K16" s="14"/>
      <c r="L16" s="14"/>
      <c r="M16" s="14"/>
      <c r="N16" s="14"/>
      <c r="O16" s="12">
        <f t="shared" si="0"/>
        <v>160.94999999999999</v>
      </c>
      <c r="P16" s="12">
        <f t="shared" si="1"/>
        <v>376.02000000000004</v>
      </c>
    </row>
    <row r="17" spans="1:16" ht="18.75" x14ac:dyDescent="0.3">
      <c r="A17" s="18" t="s">
        <v>23</v>
      </c>
      <c r="B17" s="13"/>
      <c r="C17" s="14"/>
      <c r="D17" s="14">
        <v>220.05</v>
      </c>
      <c r="E17" s="14"/>
      <c r="F17" s="14"/>
      <c r="G17" s="14"/>
      <c r="H17" s="14">
        <v>62.5</v>
      </c>
      <c r="I17" s="14"/>
      <c r="J17" s="14"/>
      <c r="K17" s="14"/>
      <c r="L17" s="14"/>
      <c r="M17" s="14"/>
      <c r="N17" s="14"/>
      <c r="O17" s="12">
        <f t="shared" si="0"/>
        <v>282.55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178.1</v>
      </c>
      <c r="G18" s="14"/>
      <c r="H18" s="14"/>
      <c r="I18" s="14"/>
      <c r="J18" s="14">
        <f>312.2-178.1+39</f>
        <v>173.1</v>
      </c>
      <c r="K18" s="14">
        <v>303.43</v>
      </c>
      <c r="L18" s="14"/>
      <c r="M18" s="14"/>
      <c r="N18" s="14"/>
      <c r="O18" s="12">
        <f t="shared" si="0"/>
        <v>351.2</v>
      </c>
      <c r="P18" s="12">
        <f t="shared" si="1"/>
        <v>303.43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>
        <v>65.5</v>
      </c>
      <c r="C23" s="17">
        <v>65.5</v>
      </c>
      <c r="D23" s="17">
        <v>66</v>
      </c>
      <c r="E23" s="17">
        <v>66</v>
      </c>
      <c r="F23" s="17">
        <v>153.5</v>
      </c>
      <c r="G23" s="17">
        <v>153.5</v>
      </c>
      <c r="H23" s="17">
        <v>70</v>
      </c>
      <c r="I23" s="17">
        <v>70</v>
      </c>
      <c r="J23" s="17">
        <v>13</v>
      </c>
      <c r="K23" s="17">
        <v>13</v>
      </c>
      <c r="L23" s="17">
        <v>23.5</v>
      </c>
      <c r="M23" s="17">
        <v>23.5</v>
      </c>
      <c r="N23" s="17"/>
      <c r="O23" s="49">
        <f t="shared" si="0"/>
        <v>391.5</v>
      </c>
      <c r="P23" s="49">
        <f t="shared" si="1"/>
        <v>391.5</v>
      </c>
    </row>
    <row r="24" spans="1:16" x14ac:dyDescent="0.25">
      <c r="A24" t="s">
        <v>54</v>
      </c>
      <c r="B24" s="21">
        <f>SUM(B4:B23)</f>
        <v>65.5</v>
      </c>
      <c r="C24" s="21">
        <f t="shared" ref="C24:P24" si="2">SUM(C4:C23)</f>
        <v>65.5</v>
      </c>
      <c r="D24" s="21">
        <f t="shared" si="2"/>
        <v>1287.97</v>
      </c>
      <c r="E24" s="21">
        <f t="shared" si="2"/>
        <v>669.04</v>
      </c>
      <c r="F24" s="21">
        <f t="shared" si="2"/>
        <v>914.15</v>
      </c>
      <c r="G24" s="21">
        <f t="shared" si="2"/>
        <v>153.5</v>
      </c>
      <c r="H24" s="21">
        <f t="shared" si="2"/>
        <v>1485.6</v>
      </c>
      <c r="I24" s="21">
        <f t="shared" si="2"/>
        <v>2100.87</v>
      </c>
      <c r="J24" s="21">
        <f t="shared" si="2"/>
        <v>1037.55</v>
      </c>
      <c r="K24" s="21">
        <f t="shared" si="2"/>
        <v>1015.56</v>
      </c>
      <c r="L24" s="21">
        <f t="shared" si="2"/>
        <v>23.5</v>
      </c>
      <c r="M24" s="21">
        <f t="shared" si="2"/>
        <v>23.5</v>
      </c>
      <c r="N24" s="21">
        <f t="shared" si="2"/>
        <v>0</v>
      </c>
      <c r="O24" s="50">
        <f t="shared" si="2"/>
        <v>4814.2700000000004</v>
      </c>
      <c r="P24" s="50">
        <f t="shared" si="2"/>
        <v>4027.97</v>
      </c>
    </row>
    <row r="25" spans="1:16" ht="15.75" thickBot="1" x14ac:dyDescent="0.3">
      <c r="N25" t="s">
        <v>55</v>
      </c>
      <c r="O25" s="50">
        <f>SUM(B24+D24+F24+H24+J24+L24+N24)</f>
        <v>4814.2699999999995</v>
      </c>
      <c r="P25" s="50">
        <f>SUM(C24+E24+G24+I24+K24+M24)</f>
        <v>4027.97</v>
      </c>
    </row>
    <row r="26" spans="1:16" ht="15.75" thickBot="1" x14ac:dyDescent="0.3">
      <c r="A26" t="s">
        <v>27</v>
      </c>
      <c r="B26" s="22">
        <f>O24</f>
        <v>4814.2700000000004</v>
      </c>
      <c r="D26" s="5" t="s">
        <v>30</v>
      </c>
      <c r="E26" s="47">
        <f>B50*1.5</f>
        <v>4892.2331999999997</v>
      </c>
    </row>
    <row r="27" spans="1:16" x14ac:dyDescent="0.25">
      <c r="A27" t="s">
        <v>28</v>
      </c>
      <c r="B27" s="22">
        <f>P24</f>
        <v>4027.97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4814.2700000000004</v>
      </c>
      <c r="H32" s="37"/>
      <c r="I32" s="26" t="s">
        <v>50</v>
      </c>
      <c r="J32" s="44">
        <f>F32</f>
        <v>4814.2700000000004</v>
      </c>
      <c r="L32" s="37"/>
      <c r="M32" s="27" t="s">
        <v>50</v>
      </c>
      <c r="N32" s="45">
        <f>J32</f>
        <v>4814.2700000000004</v>
      </c>
    </row>
    <row r="33" spans="1:15" x14ac:dyDescent="0.25">
      <c r="A33" t="s">
        <v>33</v>
      </c>
      <c r="B33" s="28">
        <f>IF(C33="","",(C33*1.16)+3.75+10)</f>
        <v>1589.1227999999999</v>
      </c>
      <c r="C33" s="34">
        <v>1358.08</v>
      </c>
      <c r="D33" s="37"/>
      <c r="E33" s="25" t="s">
        <v>51</v>
      </c>
      <c r="F33" s="42">
        <f>B50</f>
        <v>3261.4887999999996</v>
      </c>
      <c r="H33" s="37"/>
      <c r="I33" s="26" t="s">
        <v>51</v>
      </c>
      <c r="J33" s="44">
        <f>F33</f>
        <v>3261.4887999999996</v>
      </c>
      <c r="L33" s="37"/>
      <c r="M33" s="27" t="s">
        <v>51</v>
      </c>
      <c r="N33" s="45">
        <f>J33</f>
        <v>3261.4887999999996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1552.7812000000008</v>
      </c>
      <c r="H35" s="37"/>
      <c r="I35" s="26" t="s">
        <v>52</v>
      </c>
      <c r="J35" s="44">
        <f>F35</f>
        <v>1552.7812000000008</v>
      </c>
      <c r="L35" s="37"/>
      <c r="M35" s="27" t="s">
        <v>52</v>
      </c>
      <c r="N35" s="45">
        <f>J35</f>
        <v>1552.7812000000008</v>
      </c>
    </row>
    <row r="36" spans="1:15" x14ac:dyDescent="0.25">
      <c r="A36" t="s">
        <v>36</v>
      </c>
      <c r="B36" s="31">
        <v>792.52</v>
      </c>
      <c r="D36" s="37"/>
      <c r="E36" s="25" t="s">
        <v>53</v>
      </c>
      <c r="F36" s="43">
        <f>(F32-F33)/F33</f>
        <v>0.47609582470435002</v>
      </c>
      <c r="H36" s="37"/>
      <c r="I36" s="26" t="s">
        <v>53</v>
      </c>
      <c r="J36" s="52">
        <f>(J32-J33)/J33</f>
        <v>0.47609582470435002</v>
      </c>
      <c r="L36" s="37"/>
      <c r="M36" s="27" t="s">
        <v>53</v>
      </c>
      <c r="N36" s="53">
        <f>(N32-N33)/N33</f>
        <v>0.47609582470435002</v>
      </c>
    </row>
    <row r="37" spans="1:15" x14ac:dyDescent="0.25">
      <c r="A37" t="s">
        <v>37</v>
      </c>
      <c r="B37" s="31">
        <v>529.54999999999995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E39" t="s">
        <v>275</v>
      </c>
      <c r="H39" s="37"/>
      <c r="L39" s="37"/>
    </row>
    <row r="40" spans="1:15" x14ac:dyDescent="0.25">
      <c r="B40" s="21"/>
      <c r="D40" s="37"/>
      <c r="E40" s="25" t="s">
        <v>50</v>
      </c>
      <c r="F40" s="42">
        <f>F32-N48</f>
        <v>4376.4000000000005</v>
      </c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E41" s="25" t="s">
        <v>51</v>
      </c>
      <c r="F41" s="42">
        <f>F33-B43</f>
        <v>2911.1927999999998</v>
      </c>
      <c r="H41" s="37"/>
      <c r="L41" s="37"/>
      <c r="M41" s="124" t="s">
        <v>218</v>
      </c>
      <c r="N41" s="129">
        <v>281.27999999999997</v>
      </c>
      <c r="O41" s="125"/>
    </row>
    <row r="42" spans="1:15" x14ac:dyDescent="0.25">
      <c r="A42" s="2" t="s">
        <v>39</v>
      </c>
      <c r="B42" s="21"/>
      <c r="D42" s="37"/>
      <c r="E42" s="25"/>
      <c r="F42" s="25"/>
      <c r="H42" s="37"/>
      <c r="L42" s="37"/>
      <c r="M42" s="124"/>
      <c r="N42" s="129">
        <v>97.17</v>
      </c>
      <c r="O42" s="125"/>
    </row>
    <row r="43" spans="1:15" x14ac:dyDescent="0.25">
      <c r="A43" t="s">
        <v>40</v>
      </c>
      <c r="B43" s="21">
        <f>N49</f>
        <v>350.29599999999999</v>
      </c>
      <c r="D43" s="37"/>
      <c r="E43" s="25" t="s">
        <v>52</v>
      </c>
      <c r="F43" s="42">
        <f>F40-F41</f>
        <v>1465.2072000000007</v>
      </c>
      <c r="H43" s="37"/>
      <c r="L43" s="37"/>
      <c r="M43" s="124"/>
      <c r="N43" s="129">
        <v>8.9600000000000009</v>
      </c>
      <c r="O43" s="125"/>
    </row>
    <row r="44" spans="1:15" x14ac:dyDescent="0.25">
      <c r="A44" s="6"/>
      <c r="B44" s="21"/>
      <c r="D44" s="37"/>
      <c r="E44" s="25" t="s">
        <v>53</v>
      </c>
      <c r="F44" s="43">
        <f>(F40-F41)/F41</f>
        <v>0.50330132720855891</v>
      </c>
      <c r="H44" s="37"/>
      <c r="L44" s="37"/>
      <c r="M44" s="124"/>
      <c r="N44" s="129">
        <v>11.46</v>
      </c>
      <c r="O44" s="125"/>
    </row>
    <row r="45" spans="1:15" x14ac:dyDescent="0.25">
      <c r="A45" s="6"/>
      <c r="B45" s="21"/>
      <c r="D45" s="37"/>
      <c r="H45" s="37"/>
      <c r="L45" s="37"/>
      <c r="M45" s="124"/>
      <c r="N45" s="129">
        <v>39</v>
      </c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1880.65</v>
      </c>
      <c r="H48" s="37"/>
      <c r="I48" s="38" t="s">
        <v>61</v>
      </c>
      <c r="J48" s="38"/>
      <c r="K48" s="39">
        <f>F32</f>
        <v>4814.2700000000004</v>
      </c>
      <c r="L48" s="37"/>
      <c r="M48" s="124" t="s">
        <v>219</v>
      </c>
      <c r="N48" s="129">
        <f>SUM(N41:N47)</f>
        <v>437.86999999999995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350.29599999999999</v>
      </c>
      <c r="O49" s="125"/>
    </row>
    <row r="50" spans="1:15" ht="15.75" thickBot="1" x14ac:dyDescent="0.3">
      <c r="A50" t="s">
        <v>42</v>
      </c>
      <c r="B50" s="33">
        <f>SUM(B33:B48)</f>
        <v>3261.4887999999996</v>
      </c>
      <c r="D50" s="37"/>
      <c r="G50" s="40"/>
      <c r="H50" s="37"/>
      <c r="I50" t="s">
        <v>62</v>
      </c>
      <c r="K50" s="41">
        <f>J50/K48</f>
        <v>0</v>
      </c>
      <c r="L50" s="37"/>
      <c r="M50" s="124" t="s">
        <v>221</v>
      </c>
      <c r="N50" s="129">
        <f>N48-N49</f>
        <v>87.573999999999955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1880.65</v>
      </c>
      <c r="H51" s="37"/>
      <c r="I51" t="s">
        <v>63</v>
      </c>
      <c r="J51" s="22">
        <f>K48-J50</f>
        <v>4814.2700000000004</v>
      </c>
      <c r="K51" s="41">
        <f>J51/K48</f>
        <v>1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1377.89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B37*16%</f>
        <v>84.727999999999994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586.26</v>
      </c>
      <c r="H55" s="37"/>
      <c r="L55" s="37"/>
    </row>
    <row r="56" spans="1:15" ht="15.75" thickBot="1" x14ac:dyDescent="0.3">
      <c r="A56" t="s">
        <v>44</v>
      </c>
      <c r="B56" s="33"/>
      <c r="D56" s="37"/>
      <c r="H56" s="37"/>
      <c r="L56" s="37"/>
      <c r="M56" t="s">
        <v>236</v>
      </c>
      <c r="N56" s="65">
        <f>'Sem 26'!N57+'Sem 27'!F35</f>
        <v>48625.672800000008</v>
      </c>
    </row>
    <row r="57" spans="1:15" ht="15.75" thickBot="1" x14ac:dyDescent="0.3">
      <c r="A57" t="s">
        <v>45</v>
      </c>
      <c r="B57" s="21"/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3844.8</v>
      </c>
      <c r="O58" t="s">
        <v>271</v>
      </c>
    </row>
    <row r="59" spans="1:15" x14ac:dyDescent="0.25">
      <c r="A59" t="s">
        <v>46</v>
      </c>
      <c r="B59" s="21"/>
      <c r="M59" t="s">
        <v>210</v>
      </c>
      <c r="N59" s="113">
        <f>N56-N57</f>
        <v>32557.822223076932</v>
      </c>
      <c r="O59" s="21">
        <f>N59/_xlfn.ISOWEEKNUM($L$3)</f>
        <v>1205.8452675213678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4" tint="0.59999389629810485"/>
    <pageSetUpPr fitToPage="1"/>
  </sheetPr>
  <dimension ref="A1:P59"/>
  <sheetViews>
    <sheetView topLeftCell="A19" workbookViewId="0">
      <selection activeCell="N32" sqref="N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43290</v>
      </c>
      <c r="C3" s="10"/>
      <c r="D3" s="9">
        <v>43291</v>
      </c>
      <c r="E3" s="10"/>
      <c r="F3" s="9">
        <v>43292</v>
      </c>
      <c r="G3" s="10"/>
      <c r="H3" s="9">
        <v>43293</v>
      </c>
      <c r="I3" s="10"/>
      <c r="J3" s="9">
        <v>43294</v>
      </c>
      <c r="K3" s="10"/>
      <c r="L3" s="9">
        <v>43295</v>
      </c>
      <c r="M3" s="10"/>
      <c r="N3" s="9">
        <v>43296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267.2</v>
      </c>
      <c r="E4" s="12"/>
      <c r="F4" s="12"/>
      <c r="G4" s="12"/>
      <c r="H4" s="12">
        <f>400.2-214.5</f>
        <v>185.7</v>
      </c>
      <c r="I4" s="12">
        <v>487.99</v>
      </c>
      <c r="J4" s="12"/>
      <c r="K4" s="12"/>
      <c r="L4" s="12"/>
      <c r="M4" s="12"/>
      <c r="N4" s="12"/>
      <c r="O4" s="12">
        <f>B4+D4+F4+H4+J4+L4+N4</f>
        <v>452.9</v>
      </c>
      <c r="P4" s="12">
        <f>C4+E4+G4+I4+K4+M4</f>
        <v>487.99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206</v>
      </c>
      <c r="I6" s="14">
        <v>339.4</v>
      </c>
      <c r="J6" s="14"/>
      <c r="K6" s="14"/>
      <c r="L6" s="14"/>
      <c r="M6" s="14"/>
      <c r="N6" s="14"/>
      <c r="O6" s="12">
        <f t="shared" si="0"/>
        <v>206</v>
      </c>
      <c r="P6" s="12">
        <f t="shared" si="1"/>
        <v>339.4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171.9</v>
      </c>
      <c r="G7" s="14"/>
      <c r="H7" s="14"/>
      <c r="I7" s="14"/>
      <c r="J7" s="14">
        <f>372.8-171.9+78</f>
        <v>278.89999999999998</v>
      </c>
      <c r="K7" s="14">
        <v>489.55</v>
      </c>
      <c r="L7" s="14"/>
      <c r="M7" s="14"/>
      <c r="N7" s="14"/>
      <c r="O7" s="12">
        <f t="shared" si="0"/>
        <v>450.79999999999995</v>
      </c>
      <c r="P7" s="12">
        <f t="shared" si="1"/>
        <v>489.55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146.69999999999999</v>
      </c>
      <c r="G9" s="14"/>
      <c r="H9" s="14">
        <f>428.2-146.7</f>
        <v>281.5</v>
      </c>
      <c r="I9" s="14">
        <v>453.89</v>
      </c>
      <c r="J9" s="14"/>
      <c r="K9" s="14"/>
      <c r="L9" s="14"/>
      <c r="M9" s="14"/>
      <c r="N9" s="14"/>
      <c r="O9" s="12">
        <f t="shared" si="0"/>
        <v>428.2</v>
      </c>
      <c r="P9" s="12">
        <f t="shared" si="1"/>
        <v>453.89</v>
      </c>
    </row>
    <row r="10" spans="1:16" ht="18.75" x14ac:dyDescent="0.3">
      <c r="A10" s="116" t="s">
        <v>16</v>
      </c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9">
        <f t="shared" si="0"/>
        <v>0</v>
      </c>
      <c r="P10" s="119">
        <f t="shared" si="1"/>
        <v>0</v>
      </c>
    </row>
    <row r="11" spans="1:16" ht="18.75" x14ac:dyDescent="0.3">
      <c r="A11" s="116" t="s">
        <v>17</v>
      </c>
      <c r="B11" s="117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9">
        <f t="shared" si="0"/>
        <v>0</v>
      </c>
      <c r="P11" s="119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6">
        <v>430.7</v>
      </c>
      <c r="K13" s="14"/>
      <c r="L13" s="14"/>
      <c r="M13" s="14"/>
      <c r="N13" s="14"/>
      <c r="O13" s="12">
        <f t="shared" si="0"/>
        <v>430.7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270.55</v>
      </c>
      <c r="I15" s="14">
        <v>352.34</v>
      </c>
      <c r="J15" s="14"/>
      <c r="K15" s="14"/>
      <c r="L15" s="14"/>
      <c r="M15" s="14"/>
      <c r="N15" s="14"/>
      <c r="O15" s="12">
        <f t="shared" si="0"/>
        <v>270.55</v>
      </c>
      <c r="P15" s="12">
        <f t="shared" si="1"/>
        <v>352.34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>
        <v>108.7</v>
      </c>
      <c r="E17" s="14"/>
      <c r="F17" s="14"/>
      <c r="G17" s="14"/>
      <c r="H17" s="14">
        <v>103.9</v>
      </c>
      <c r="I17" s="14"/>
      <c r="J17" s="14"/>
      <c r="K17" s="14"/>
      <c r="L17" s="14"/>
      <c r="M17" s="14"/>
      <c r="N17" s="14"/>
      <c r="O17" s="12">
        <f t="shared" si="0"/>
        <v>212.60000000000002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139.15</v>
      </c>
      <c r="G18" s="14"/>
      <c r="H18" s="14"/>
      <c r="I18" s="14"/>
      <c r="J18" s="14">
        <f>330.9-112.8</f>
        <v>218.09999999999997</v>
      </c>
      <c r="K18" s="14"/>
      <c r="L18" s="14"/>
      <c r="M18" s="14"/>
      <c r="N18" s="14"/>
      <c r="O18" s="12">
        <f t="shared" si="0"/>
        <v>357.25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>
        <v>84</v>
      </c>
      <c r="E23" s="17">
        <v>84</v>
      </c>
      <c r="F23" s="17">
        <v>139</v>
      </c>
      <c r="G23" s="17">
        <v>139</v>
      </c>
      <c r="H23" s="17">
        <v>92</v>
      </c>
      <c r="I23" s="17">
        <v>92</v>
      </c>
      <c r="J23" s="17">
        <v>189.9</v>
      </c>
      <c r="K23" s="17">
        <v>189.9</v>
      </c>
      <c r="L23" s="17"/>
      <c r="M23" s="17"/>
      <c r="N23" s="17"/>
      <c r="O23" s="49">
        <f t="shared" si="0"/>
        <v>504.9</v>
      </c>
      <c r="P23" s="49">
        <f t="shared" si="1"/>
        <v>504.9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459.9</v>
      </c>
      <c r="E24" s="21">
        <f t="shared" si="2"/>
        <v>84</v>
      </c>
      <c r="F24" s="21">
        <f t="shared" si="2"/>
        <v>596.75</v>
      </c>
      <c r="G24" s="21">
        <f t="shared" si="2"/>
        <v>139</v>
      </c>
      <c r="H24" s="21">
        <f t="shared" si="2"/>
        <v>1139.6500000000001</v>
      </c>
      <c r="I24" s="21">
        <f t="shared" si="2"/>
        <v>1725.62</v>
      </c>
      <c r="J24" s="21">
        <f t="shared" si="2"/>
        <v>1117.5999999999999</v>
      </c>
      <c r="K24" s="21">
        <f t="shared" si="2"/>
        <v>679.45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3313.9</v>
      </c>
      <c r="P24" s="50">
        <f t="shared" si="2"/>
        <v>2628.07</v>
      </c>
    </row>
    <row r="25" spans="1:16" ht="15.75" thickBot="1" x14ac:dyDescent="0.3">
      <c r="N25" t="s">
        <v>55</v>
      </c>
      <c r="O25" s="50">
        <f>SUM(B24+D24+F24+H24+J24+L24+N24)</f>
        <v>3313.9</v>
      </c>
      <c r="P25" s="50">
        <f>SUM(C24+E24+G24+I24+K24+M24)</f>
        <v>2628.0699999999997</v>
      </c>
    </row>
    <row r="26" spans="1:16" ht="15.75" thickBot="1" x14ac:dyDescent="0.3">
      <c r="A26" t="s">
        <v>27</v>
      </c>
      <c r="B26" s="22">
        <f>O24</f>
        <v>3313.9</v>
      </c>
      <c r="D26" s="5" t="s">
        <v>30</v>
      </c>
      <c r="E26" s="47">
        <f>B50*1.5</f>
        <v>2972.2788</v>
      </c>
    </row>
    <row r="27" spans="1:16" x14ac:dyDescent="0.25">
      <c r="A27" t="s">
        <v>28</v>
      </c>
      <c r="B27" s="22">
        <f>P24</f>
        <v>2628.07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3313.9</v>
      </c>
      <c r="H32" s="37"/>
      <c r="I32" s="26" t="s">
        <v>50</v>
      </c>
      <c r="J32" s="44">
        <f>'Sem 27'!J32+'Sem 28'!F32</f>
        <v>8128.17</v>
      </c>
      <c r="L32" s="37"/>
      <c r="M32" s="27" t="s">
        <v>50</v>
      </c>
      <c r="N32" s="45">
        <f>'Sem 27'!N32+'Sem 28'!F32</f>
        <v>8128.17</v>
      </c>
    </row>
    <row r="33" spans="1:15" x14ac:dyDescent="0.25">
      <c r="A33" t="s">
        <v>33</v>
      </c>
      <c r="B33" s="28">
        <f>IF(C33="","",(C33*1.16)+3.75+10)</f>
        <v>1190.4191999999998</v>
      </c>
      <c r="C33" s="34">
        <v>1014.37</v>
      </c>
      <c r="D33" s="37"/>
      <c r="E33" s="25" t="s">
        <v>51</v>
      </c>
      <c r="F33" s="42">
        <f>B50</f>
        <v>1981.5192</v>
      </c>
      <c r="H33" s="37"/>
      <c r="I33" s="26" t="s">
        <v>51</v>
      </c>
      <c r="J33" s="44">
        <f>'Sem 27'!J33+'Sem 28'!F33</f>
        <v>5243.0079999999998</v>
      </c>
      <c r="L33" s="37"/>
      <c r="M33" s="27" t="s">
        <v>51</v>
      </c>
      <c r="N33" s="45">
        <f>'Sem 27'!N33+'Sem 28'!F33</f>
        <v>5243.0079999999998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27'!J34+'Sem 28'!F34</f>
        <v>0</v>
      </c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1332.3808000000001</v>
      </c>
      <c r="H35" s="37"/>
      <c r="I35" s="26" t="s">
        <v>52</v>
      </c>
      <c r="J35" s="44">
        <f>'Sem 27'!J35+'Sem 28'!F35</f>
        <v>2885.1620000000012</v>
      </c>
      <c r="L35" s="37"/>
      <c r="M35" s="27" t="s">
        <v>52</v>
      </c>
      <c r="N35" s="45">
        <f>'Sem 27'!N35+'Sem 28'!F35</f>
        <v>2885.1620000000012</v>
      </c>
    </row>
    <row r="36" spans="1:15" x14ac:dyDescent="0.25">
      <c r="A36" t="s">
        <v>36</v>
      </c>
      <c r="B36" s="31">
        <v>515.86</v>
      </c>
      <c r="D36" s="37"/>
      <c r="E36" s="25" t="s">
        <v>53</v>
      </c>
      <c r="F36" s="43">
        <f>(F32-F33)/F33</f>
        <v>0.67240367895501596</v>
      </c>
      <c r="H36" s="37"/>
      <c r="I36" s="26" t="s">
        <v>53</v>
      </c>
      <c r="J36" s="52">
        <f>(J32-J33)/J33</f>
        <v>0.55028754485974474</v>
      </c>
      <c r="L36" s="37"/>
      <c r="M36" s="27" t="s">
        <v>53</v>
      </c>
      <c r="N36" s="53">
        <f>(N32-N33)/N33</f>
        <v>0.55028754485974474</v>
      </c>
    </row>
    <row r="37" spans="1:15" x14ac:dyDescent="0.25">
      <c r="A37" t="s">
        <v>37</v>
      </c>
      <c r="B37" s="31">
        <v>182.8</v>
      </c>
      <c r="D37" s="37"/>
      <c r="H37" s="37"/>
      <c r="L37" s="37"/>
    </row>
    <row r="38" spans="1:15" ht="15.75" thickBot="1" x14ac:dyDescent="0.3">
      <c r="A38" t="s">
        <v>277</v>
      </c>
      <c r="B38" s="32">
        <v>29.2</v>
      </c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52.7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>
        <v>26.35</v>
      </c>
      <c r="O42" s="125"/>
    </row>
    <row r="43" spans="1:15" x14ac:dyDescent="0.25">
      <c r="A43" t="s">
        <v>40</v>
      </c>
      <c r="B43" s="21">
        <f>N49</f>
        <v>63.240000000000009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1052.48</v>
      </c>
      <c r="H48" s="37"/>
      <c r="I48" s="38" t="s">
        <v>61</v>
      </c>
      <c r="J48" s="38"/>
      <c r="K48" s="39">
        <f>F32</f>
        <v>3313.9</v>
      </c>
      <c r="L48" s="37"/>
      <c r="M48" s="124" t="s">
        <v>219</v>
      </c>
      <c r="N48" s="129">
        <f>SUM(N41:N47)</f>
        <v>79.050000000000011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63.240000000000009</v>
      </c>
      <c r="O49" s="125"/>
    </row>
    <row r="50" spans="1:15" ht="15.75" thickBot="1" x14ac:dyDescent="0.3">
      <c r="A50" t="s">
        <v>42</v>
      </c>
      <c r="B50" s="33">
        <f>SUM(B33:B48)</f>
        <v>1981.5192</v>
      </c>
      <c r="D50" s="37"/>
      <c r="G50" s="40"/>
      <c r="H50" s="37"/>
      <c r="I50" t="s">
        <v>62</v>
      </c>
      <c r="J50">
        <v>2809</v>
      </c>
      <c r="K50" s="41">
        <f>J50/K48</f>
        <v>0.84764175141072451</v>
      </c>
      <c r="L50" s="37"/>
      <c r="M50" s="124" t="s">
        <v>221</v>
      </c>
      <c r="N50" s="129">
        <f>N48-N49</f>
        <v>15.810000000000002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1052.48</v>
      </c>
      <c r="H51" s="37"/>
      <c r="I51" t="s">
        <v>63</v>
      </c>
      <c r="J51" s="22">
        <f>K48-J50</f>
        <v>504.90000000000009</v>
      </c>
      <c r="K51" s="41">
        <f>J51/K48</f>
        <v>0.15235824858927549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150" t="s">
        <v>188</v>
      </c>
      <c r="B53" s="151">
        <v>9.35</v>
      </c>
      <c r="D53" s="37"/>
      <c r="E53" t="s">
        <v>58</v>
      </c>
      <c r="G53" s="40">
        <v>408.91</v>
      </c>
      <c r="H53" s="37"/>
      <c r="I53">
        <v>5</v>
      </c>
      <c r="L53" s="37"/>
      <c r="M53" s="126"/>
      <c r="N53" s="127"/>
      <c r="O53" s="128"/>
    </row>
    <row r="54" spans="1:15" x14ac:dyDescent="0.25">
      <c r="A54" s="152" t="s">
        <v>189</v>
      </c>
      <c r="B54" s="151">
        <f>(B37+B38)*16%</f>
        <v>33.92</v>
      </c>
      <c r="D54" s="37"/>
      <c r="E54" t="s">
        <v>59</v>
      </c>
      <c r="G54" s="40">
        <v>54.87</v>
      </c>
      <c r="H54" s="37"/>
      <c r="L54" s="37"/>
    </row>
    <row r="55" spans="1:15" ht="15.75" thickBot="1" x14ac:dyDescent="0.3">
      <c r="D55" s="37"/>
      <c r="E55" t="s">
        <v>60</v>
      </c>
      <c r="G55" s="40">
        <v>309.93</v>
      </c>
      <c r="H55" s="37"/>
      <c r="L55" s="37"/>
    </row>
    <row r="56" spans="1:15" ht="15.75" thickBot="1" x14ac:dyDescent="0.3">
      <c r="A56" t="s">
        <v>44</v>
      </c>
      <c r="B56" s="33">
        <v>5024.87</v>
      </c>
      <c r="D56" s="37"/>
      <c r="H56" s="37"/>
      <c r="L56" s="37"/>
      <c r="M56" t="s">
        <v>236</v>
      </c>
      <c r="N56" s="65">
        <f>'Sem 26'!N57+'Sem 27'!F35</f>
        <v>48625.672800000008</v>
      </c>
    </row>
    <row r="57" spans="1:15" ht="15.75" thickBot="1" x14ac:dyDescent="0.3">
      <c r="A57" t="s">
        <v>45</v>
      </c>
      <c r="B57" s="21"/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1826.19</v>
      </c>
      <c r="O58" t="s">
        <v>271</v>
      </c>
    </row>
    <row r="59" spans="1:15" x14ac:dyDescent="0.25">
      <c r="A59" t="s">
        <v>46</v>
      </c>
      <c r="B59" s="21"/>
      <c r="M59" t="s">
        <v>210</v>
      </c>
      <c r="N59" s="113">
        <f>N56-N57</f>
        <v>32557.822223076932</v>
      </c>
      <c r="O59" s="21">
        <f>N59/_xlfn.ISOWEEKNUM($L$3)</f>
        <v>1162.7793651098905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4" tint="0.59999389629810485"/>
    <pageSetUpPr fitToPage="1"/>
  </sheetPr>
  <dimension ref="A1:P59"/>
  <sheetViews>
    <sheetView topLeftCell="A19" workbookViewId="0">
      <selection activeCell="J32" sqref="J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43297</v>
      </c>
      <c r="C3" s="10"/>
      <c r="D3" s="9">
        <v>43298</v>
      </c>
      <c r="E3" s="10"/>
      <c r="F3" s="9">
        <v>43299</v>
      </c>
      <c r="G3" s="10"/>
      <c r="H3" s="9">
        <v>43300</v>
      </c>
      <c r="I3" s="10"/>
      <c r="J3" s="9">
        <v>43301</v>
      </c>
      <c r="K3" s="10"/>
      <c r="L3" s="9">
        <v>43302</v>
      </c>
      <c r="M3" s="10"/>
      <c r="N3" s="9">
        <v>43303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>
        <v>335.35</v>
      </c>
      <c r="I4" s="12"/>
      <c r="J4" s="12">
        <v>97.17</v>
      </c>
      <c r="K4" s="12"/>
      <c r="L4" s="12"/>
      <c r="M4" s="12"/>
      <c r="N4" s="12"/>
      <c r="O4" s="12">
        <f>B4+D4+F4+H4+J4+L4+N4</f>
        <v>432.52000000000004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307.05</v>
      </c>
      <c r="E6" s="14"/>
      <c r="F6" s="14"/>
      <c r="G6" s="14"/>
      <c r="H6" s="14"/>
      <c r="I6" s="14"/>
      <c r="J6" s="14">
        <v>75.3</v>
      </c>
      <c r="K6" s="14">
        <v>274.12</v>
      </c>
      <c r="L6" s="14"/>
      <c r="M6" s="14"/>
      <c r="N6" s="14"/>
      <c r="O6" s="12">
        <f t="shared" si="0"/>
        <v>382.35</v>
      </c>
      <c r="P6" s="12">
        <f t="shared" si="1"/>
        <v>274.12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121.5</v>
      </c>
      <c r="G7" s="14"/>
      <c r="H7" s="14"/>
      <c r="I7" s="14"/>
      <c r="J7" s="14">
        <f>270.75-121.5</f>
        <v>149.25</v>
      </c>
      <c r="K7" s="14">
        <v>287</v>
      </c>
      <c r="L7" s="14"/>
      <c r="M7" s="14"/>
      <c r="N7" s="14"/>
      <c r="O7" s="12">
        <f t="shared" si="0"/>
        <v>270.75</v>
      </c>
      <c r="P7" s="12">
        <f t="shared" si="1"/>
        <v>287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92</v>
      </c>
      <c r="I9" s="14">
        <v>97.52</v>
      </c>
      <c r="J9" s="14"/>
      <c r="K9" s="14"/>
      <c r="L9" s="14"/>
      <c r="M9" s="14"/>
      <c r="N9" s="14"/>
      <c r="O9" s="12">
        <f t="shared" si="0"/>
        <v>92</v>
      </c>
      <c r="P9" s="12">
        <f t="shared" si="1"/>
        <v>97.52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241</v>
      </c>
      <c r="K13" s="14"/>
      <c r="L13" s="14"/>
      <c r="M13" s="14"/>
      <c r="N13" s="14"/>
      <c r="O13" s="12">
        <f t="shared" si="0"/>
        <v>241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85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85</v>
      </c>
      <c r="P14" s="12">
        <f t="shared" si="1"/>
        <v>0</v>
      </c>
    </row>
    <row r="15" spans="1:16" ht="18.75" x14ac:dyDescent="0.3">
      <c r="A15" s="19" t="s">
        <v>21</v>
      </c>
      <c r="B15" s="13">
        <v>37.5</v>
      </c>
      <c r="C15" s="14"/>
      <c r="D15" s="14">
        <v>117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154.5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>
        <v>118.7</v>
      </c>
      <c r="E17" s="14"/>
      <c r="F17" s="14"/>
      <c r="G17" s="14"/>
      <c r="H17" s="14">
        <v>55</v>
      </c>
      <c r="I17" s="14"/>
      <c r="J17" s="14"/>
      <c r="K17" s="14"/>
      <c r="L17" s="14"/>
      <c r="M17" s="14"/>
      <c r="N17" s="14"/>
      <c r="O17" s="12">
        <f t="shared" si="0"/>
        <v>173.7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96</v>
      </c>
      <c r="G18" s="14"/>
      <c r="H18" s="14"/>
      <c r="I18" s="14"/>
      <c r="J18" s="14">
        <f>204.1-96</f>
        <v>108.1</v>
      </c>
      <c r="K18" s="14"/>
      <c r="L18" s="14"/>
      <c r="M18" s="14"/>
      <c r="N18" s="14"/>
      <c r="O18" s="12">
        <f t="shared" si="0"/>
        <v>204.1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230</v>
      </c>
      <c r="G23" s="17">
        <v>230</v>
      </c>
      <c r="H23" s="17">
        <v>60</v>
      </c>
      <c r="I23" s="17">
        <v>60</v>
      </c>
      <c r="J23" s="17"/>
      <c r="K23" s="17"/>
      <c r="L23" s="17"/>
      <c r="M23" s="17"/>
      <c r="N23" s="17"/>
      <c r="O23" s="49">
        <f t="shared" si="0"/>
        <v>290</v>
      </c>
      <c r="P23" s="49">
        <f t="shared" si="1"/>
        <v>290</v>
      </c>
    </row>
    <row r="24" spans="1:16" x14ac:dyDescent="0.25">
      <c r="A24" t="s">
        <v>54</v>
      </c>
      <c r="B24" s="21">
        <f>SUM(B4:B23)</f>
        <v>37.5</v>
      </c>
      <c r="C24" s="21">
        <f t="shared" ref="C24:P24" si="2">SUM(C4:C23)</f>
        <v>0</v>
      </c>
      <c r="D24" s="21">
        <f t="shared" si="2"/>
        <v>542.75</v>
      </c>
      <c r="E24" s="21">
        <f t="shared" si="2"/>
        <v>0</v>
      </c>
      <c r="F24" s="21">
        <f t="shared" si="2"/>
        <v>532.5</v>
      </c>
      <c r="G24" s="21">
        <f t="shared" si="2"/>
        <v>230</v>
      </c>
      <c r="H24" s="21">
        <f t="shared" si="2"/>
        <v>542.35</v>
      </c>
      <c r="I24" s="21">
        <f t="shared" si="2"/>
        <v>157.51999999999998</v>
      </c>
      <c r="J24" s="21">
        <f t="shared" si="2"/>
        <v>670.82</v>
      </c>
      <c r="K24" s="21">
        <f t="shared" si="2"/>
        <v>561.12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2325.92</v>
      </c>
      <c r="P24" s="50">
        <f t="shared" si="2"/>
        <v>948.64</v>
      </c>
    </row>
    <row r="25" spans="1:16" ht="15.75" thickBot="1" x14ac:dyDescent="0.3">
      <c r="N25" t="s">
        <v>55</v>
      </c>
      <c r="O25" s="50">
        <f>SUM(B24+D24+F24+H24+J24+L24+N24)</f>
        <v>2325.92</v>
      </c>
      <c r="P25" s="50">
        <f>SUM(C24+E24+G24+I24+K24+M24)</f>
        <v>948.64</v>
      </c>
    </row>
    <row r="26" spans="1:16" ht="15.75" thickBot="1" x14ac:dyDescent="0.3">
      <c r="A26" t="s">
        <v>27</v>
      </c>
      <c r="B26" s="22">
        <f>O24</f>
        <v>2325.92</v>
      </c>
      <c r="D26" s="5" t="s">
        <v>30</v>
      </c>
      <c r="E26" s="47">
        <f>B50*1.5</f>
        <v>1463.829</v>
      </c>
    </row>
    <row r="27" spans="1:16" x14ac:dyDescent="0.25">
      <c r="A27" t="s">
        <v>28</v>
      </c>
      <c r="B27" s="22">
        <f>P24</f>
        <v>948.64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2325.92</v>
      </c>
      <c r="H32" s="37"/>
      <c r="I32" s="26" t="s">
        <v>50</v>
      </c>
      <c r="J32" s="44">
        <f>'Sem 28'!J32+'Sem 29'!F32</f>
        <v>10454.09</v>
      </c>
      <c r="L32" s="37"/>
      <c r="M32" s="27" t="s">
        <v>50</v>
      </c>
      <c r="N32" s="45">
        <f>'Sem 28'!N32+'Sem 29'!F32</f>
        <v>10454.09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975.88599999999997</v>
      </c>
      <c r="H33" s="37"/>
      <c r="I33" s="26" t="s">
        <v>51</v>
      </c>
      <c r="J33" s="44">
        <f>'Sem 28'!J33+'Sem 29'!F33</f>
        <v>6218.8940000000002</v>
      </c>
      <c r="L33" s="37"/>
      <c r="M33" s="27" t="s">
        <v>51</v>
      </c>
      <c r="N33" s="45">
        <f>'Sem 28'!N33+'Sem 29'!F33</f>
        <v>6218.8940000000002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1350.0340000000001</v>
      </c>
      <c r="H35" s="37"/>
      <c r="I35" s="26" t="s">
        <v>52</v>
      </c>
      <c r="J35" s="44">
        <f>'Sem 28'!J35+'Sem 29'!F35</f>
        <v>4235.1960000000017</v>
      </c>
      <c r="L35" s="37"/>
      <c r="M35" s="27" t="s">
        <v>52</v>
      </c>
      <c r="N35" s="45">
        <f>'Sem 28'!N35+'Sem 29'!F35</f>
        <v>4235.1960000000017</v>
      </c>
    </row>
    <row r="36" spans="1:15" x14ac:dyDescent="0.25">
      <c r="A36" t="s">
        <v>36</v>
      </c>
      <c r="B36" s="31">
        <v>507.95</v>
      </c>
      <c r="D36" s="37"/>
      <c r="E36" s="25" t="s">
        <v>53</v>
      </c>
      <c r="F36" s="43">
        <f>(F32-F33)/F33</f>
        <v>1.3833931422317771</v>
      </c>
      <c r="H36" s="37"/>
      <c r="I36" s="26" t="s">
        <v>53</v>
      </c>
      <c r="J36" s="52">
        <f>(J32-J33)/J33</f>
        <v>0.68102077314712228</v>
      </c>
      <c r="L36" s="37"/>
      <c r="M36" s="27" t="s">
        <v>53</v>
      </c>
      <c r="N36" s="53">
        <f>(N32-N33)/N33</f>
        <v>0.68102077314712228</v>
      </c>
    </row>
    <row r="37" spans="1:15" x14ac:dyDescent="0.25">
      <c r="A37" t="s">
        <v>37</v>
      </c>
      <c r="B37" s="31">
        <v>327.2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A39" t="s">
        <v>278</v>
      </c>
      <c r="B39" s="21">
        <v>63</v>
      </c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97.17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 t="s">
        <v>130</v>
      </c>
      <c r="O42" s="125"/>
    </row>
    <row r="43" spans="1:15" x14ac:dyDescent="0.25">
      <c r="A43" t="s">
        <v>40</v>
      </c>
      <c r="B43" s="21">
        <f>N49</f>
        <v>77.736000000000004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2325.92</v>
      </c>
      <c r="L48" s="37"/>
      <c r="M48" s="124" t="s">
        <v>219</v>
      </c>
      <c r="N48" s="129">
        <f>SUM(N41:N47)</f>
        <v>97.17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77.736000000000004</v>
      </c>
      <c r="O49" s="125"/>
    </row>
    <row r="50" spans="1:15" ht="15.75" thickBot="1" x14ac:dyDescent="0.3">
      <c r="A50" t="s">
        <v>42</v>
      </c>
      <c r="B50" s="33">
        <f>SUM(B33:B48)</f>
        <v>975.88599999999997</v>
      </c>
      <c r="D50" s="37"/>
      <c r="G50" s="40"/>
      <c r="H50" s="37"/>
      <c r="I50" t="s">
        <v>62</v>
      </c>
      <c r="K50" s="41">
        <f>J50/K48</f>
        <v>0</v>
      </c>
      <c r="L50" s="37"/>
      <c r="M50" s="124" t="s">
        <v>221</v>
      </c>
      <c r="N50" s="129">
        <f>N48-N49</f>
        <v>19.433999999999997</v>
      </c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2325.92</v>
      </c>
      <c r="K51" s="41">
        <f>J51/K48</f>
        <v>1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765.6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52.351999999999997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374.63</v>
      </c>
      <c r="H55" s="37"/>
      <c r="L55" s="37"/>
    </row>
    <row r="56" spans="1:15" ht="15.75" thickBot="1" x14ac:dyDescent="0.3">
      <c r="A56" t="s">
        <v>44</v>
      </c>
      <c r="B56" s="33">
        <v>4703.57</v>
      </c>
      <c r="D56" s="37"/>
      <c r="H56" s="37"/>
      <c r="L56" s="37"/>
      <c r="M56" t="s">
        <v>236</v>
      </c>
      <c r="N56" s="65">
        <f>'Sem 26'!N57+'Sem 27'!F35</f>
        <v>48625.672800000008</v>
      </c>
    </row>
    <row r="57" spans="1:15" ht="15.75" thickBot="1" x14ac:dyDescent="0.3">
      <c r="A57" t="s">
        <v>45</v>
      </c>
      <c r="B57" s="21">
        <f>'Sem 28'!B56</f>
        <v>5024.87</v>
      </c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1140.23</v>
      </c>
      <c r="O58" t="s">
        <v>271</v>
      </c>
    </row>
    <row r="59" spans="1:15" x14ac:dyDescent="0.25">
      <c r="A59" t="s">
        <v>46</v>
      </c>
      <c r="B59" s="21">
        <f>B56-B57</f>
        <v>-321.30000000000018</v>
      </c>
      <c r="M59" t="s">
        <v>210</v>
      </c>
      <c r="N59" s="113">
        <f>N56-N57</f>
        <v>32557.822223076932</v>
      </c>
      <c r="O59" s="21">
        <f>N59/_xlfn.ISOWEEKNUM($L$3)</f>
        <v>1122.6835249336873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4" tint="0.59999389629810485"/>
    <pageSetUpPr fitToPage="1"/>
  </sheetPr>
  <dimension ref="A1:P59"/>
  <sheetViews>
    <sheetView workbookViewId="0">
      <selection activeCell="J32" sqref="J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9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43304</v>
      </c>
      <c r="C3" s="10"/>
      <c r="D3" s="9">
        <v>43305</v>
      </c>
      <c r="E3" s="10"/>
      <c r="F3" s="9">
        <v>43306</v>
      </c>
      <c r="G3" s="10"/>
      <c r="H3" s="9">
        <v>43307</v>
      </c>
      <c r="I3" s="10"/>
      <c r="J3" s="9">
        <v>43308</v>
      </c>
      <c r="K3" s="10"/>
      <c r="L3" s="9">
        <v>43309</v>
      </c>
      <c r="M3" s="10"/>
      <c r="N3" s="9">
        <v>43310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305.8</v>
      </c>
      <c r="E6" s="14">
        <v>100</v>
      </c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305.8</v>
      </c>
      <c r="P6" s="12">
        <f t="shared" si="1"/>
        <v>100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144.9</v>
      </c>
      <c r="G7" s="14"/>
      <c r="H7" s="14"/>
      <c r="I7" s="14"/>
      <c r="J7" s="14">
        <f>430.2-144.9</f>
        <v>285.29999999999995</v>
      </c>
      <c r="K7" s="14">
        <v>456.01</v>
      </c>
      <c r="L7" s="14"/>
      <c r="M7" s="14"/>
      <c r="N7" s="14"/>
      <c r="O7" s="12">
        <f t="shared" si="0"/>
        <v>430.19999999999993</v>
      </c>
      <c r="P7" s="12">
        <f t="shared" si="1"/>
        <v>456.01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369.5</v>
      </c>
      <c r="K13" s="14"/>
      <c r="L13" s="14"/>
      <c r="M13" s="14"/>
      <c r="N13" s="14"/>
      <c r="O13" s="12">
        <f t="shared" si="0"/>
        <v>369.5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91.55</v>
      </c>
      <c r="K14" s="14">
        <f>91.55+90.1</f>
        <v>181.64999999999998</v>
      </c>
      <c r="L14" s="14"/>
      <c r="M14" s="14"/>
      <c r="N14" s="14"/>
      <c r="O14" s="12">
        <f t="shared" si="0"/>
        <v>91.55</v>
      </c>
      <c r="P14" s="12">
        <f t="shared" si="1"/>
        <v>181.64999999999998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159.5</v>
      </c>
      <c r="I15" s="14">
        <f>286.78+163.77+86.78</f>
        <v>537.32999999999993</v>
      </c>
      <c r="J15" s="14"/>
      <c r="K15" s="14"/>
      <c r="L15" s="14"/>
      <c r="M15" s="14"/>
      <c r="N15" s="14"/>
      <c r="O15" s="12">
        <f t="shared" si="0"/>
        <v>159.5</v>
      </c>
      <c r="P15" s="12">
        <f t="shared" si="1"/>
        <v>537.32999999999993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>
        <v>114.2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114.2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160</v>
      </c>
      <c r="G18" s="14"/>
      <c r="H18" s="14"/>
      <c r="I18" s="14"/>
      <c r="J18" s="14">
        <f>266.2-160</f>
        <v>106.19999999999999</v>
      </c>
      <c r="K18" s="14">
        <v>216.35</v>
      </c>
      <c r="L18" s="14"/>
      <c r="M18" s="14"/>
      <c r="N18" s="14"/>
      <c r="O18" s="12">
        <f t="shared" si="0"/>
        <v>266.2</v>
      </c>
      <c r="P18" s="12">
        <f t="shared" si="1"/>
        <v>216.35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420</v>
      </c>
      <c r="E24" s="21">
        <f t="shared" si="2"/>
        <v>100</v>
      </c>
      <c r="F24" s="21">
        <f t="shared" si="2"/>
        <v>304.89999999999998</v>
      </c>
      <c r="G24" s="21">
        <f t="shared" si="2"/>
        <v>0</v>
      </c>
      <c r="H24" s="21">
        <f t="shared" si="2"/>
        <v>159.5</v>
      </c>
      <c r="I24" s="21">
        <f t="shared" si="2"/>
        <v>537.32999999999993</v>
      </c>
      <c r="J24" s="21">
        <f t="shared" si="2"/>
        <v>852.55</v>
      </c>
      <c r="K24" s="21">
        <f t="shared" si="2"/>
        <v>854.01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1736.95</v>
      </c>
      <c r="P24" s="50">
        <f t="shared" si="2"/>
        <v>1491.3399999999997</v>
      </c>
    </row>
    <row r="25" spans="1:16" ht="15.75" thickBot="1" x14ac:dyDescent="0.3">
      <c r="N25" t="s">
        <v>55</v>
      </c>
      <c r="O25" s="50">
        <f>SUM(B24+D24+F24+H24+J24+L24+N24)</f>
        <v>1736.9499999999998</v>
      </c>
      <c r="P25" s="50">
        <f>SUM(C24+E24+G24+I24+K24+M24)</f>
        <v>1491.34</v>
      </c>
    </row>
    <row r="26" spans="1:16" ht="15.75" thickBot="1" x14ac:dyDescent="0.3">
      <c r="A26" t="s">
        <v>27</v>
      </c>
      <c r="B26" s="22">
        <f>O24</f>
        <v>1736.95</v>
      </c>
      <c r="D26" s="5" t="s">
        <v>30</v>
      </c>
      <c r="E26" s="47">
        <f>B50*1.5</f>
        <v>972.01499999999999</v>
      </c>
    </row>
    <row r="27" spans="1:16" x14ac:dyDescent="0.25">
      <c r="A27" t="s">
        <v>28</v>
      </c>
      <c r="B27" s="22">
        <f>P24</f>
        <v>1491.3399999999997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1736.95</v>
      </c>
      <c r="H32" s="37"/>
      <c r="I32" s="26" t="s">
        <v>50</v>
      </c>
      <c r="J32" s="44">
        <f>'Sem 29'!J32+'Sem 30'!F32</f>
        <v>12191.04</v>
      </c>
      <c r="L32" s="37"/>
      <c r="M32" s="27" t="s">
        <v>50</v>
      </c>
      <c r="N32" s="45">
        <f>'Sem 29'!N32+'Sem 30'!F32</f>
        <v>12191.04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648.01</v>
      </c>
      <c r="H33" s="37"/>
      <c r="I33" s="26" t="s">
        <v>51</v>
      </c>
      <c r="J33" s="44">
        <f>'Sem 29'!J33+'Sem 30'!F33</f>
        <v>6866.9040000000005</v>
      </c>
      <c r="L33" s="37"/>
      <c r="M33" s="27" t="s">
        <v>51</v>
      </c>
      <c r="N33" s="45">
        <f>'Sem 29'!N33+'Sem 30'!F33</f>
        <v>6866.9040000000005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>
        <f>'Sem 29'!N34+'Sem 30'!F34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1088.94</v>
      </c>
      <c r="H35" s="37"/>
      <c r="I35" s="26" t="s">
        <v>52</v>
      </c>
      <c r="J35" s="44">
        <f>'Sem 29'!J35+'Sem 30'!F35</f>
        <v>5324.1360000000022</v>
      </c>
      <c r="L35" s="37"/>
      <c r="M35" s="27" t="s">
        <v>52</v>
      </c>
      <c r="N35" s="45">
        <f>'Sem 29'!N35+'Sem 30'!F35</f>
        <v>5324.1360000000022</v>
      </c>
    </row>
    <row r="36" spans="1:15" x14ac:dyDescent="0.25">
      <c r="A36" t="s">
        <v>36</v>
      </c>
      <c r="B36" s="31">
        <v>438.84</v>
      </c>
      <c r="D36" s="37"/>
      <c r="E36" s="25" t="s">
        <v>53</v>
      </c>
      <c r="F36" s="43">
        <f>(F32-F33)/F33</f>
        <v>1.6804370302927425</v>
      </c>
      <c r="H36" s="37"/>
      <c r="I36" s="26" t="s">
        <v>53</v>
      </c>
      <c r="J36" s="52">
        <f>(J32-J33)/J33</f>
        <v>0.77533281373964158</v>
      </c>
      <c r="L36" s="37"/>
      <c r="M36" s="27" t="s">
        <v>53</v>
      </c>
      <c r="N36" s="53">
        <f>(N32-N33)/N33</f>
        <v>0.77533281373964158</v>
      </c>
    </row>
    <row r="37" spans="1:15" x14ac:dyDescent="0.25">
      <c r="A37" t="s">
        <v>37</v>
      </c>
      <c r="B37" s="31">
        <v>209.17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/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1736.95</v>
      </c>
      <c r="L48" s="37"/>
      <c r="M48" s="124" t="s">
        <v>219</v>
      </c>
      <c r="N48" s="129"/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/>
      <c r="O49" s="125"/>
    </row>
    <row r="50" spans="1:15" ht="15.75" thickBot="1" x14ac:dyDescent="0.3">
      <c r="A50" t="s">
        <v>42</v>
      </c>
      <c r="B50" s="33">
        <f>SUM(B33:B48)</f>
        <v>648.01</v>
      </c>
      <c r="D50" s="37"/>
      <c r="G50" s="40"/>
      <c r="H50" s="37"/>
      <c r="I50" t="s">
        <v>62</v>
      </c>
      <c r="K50" s="41">
        <f>J50/K48</f>
        <v>0</v>
      </c>
      <c r="L50" s="37"/>
      <c r="M50" s="124" t="s">
        <v>221</v>
      </c>
      <c r="N50" s="129"/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1736.95</v>
      </c>
      <c r="K51" s="41">
        <f>J51/K48</f>
        <v>1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372.24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33.467199999999998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246.66</v>
      </c>
      <c r="H55" s="37"/>
      <c r="L55" s="37"/>
    </row>
    <row r="56" spans="1:15" ht="15.75" thickBot="1" x14ac:dyDescent="0.3">
      <c r="A56" t="s">
        <v>44</v>
      </c>
      <c r="B56" s="33">
        <v>4061.23</v>
      </c>
      <c r="D56" s="37"/>
      <c r="H56" s="37"/>
      <c r="L56" s="37"/>
      <c r="M56" t="s">
        <v>236</v>
      </c>
      <c r="N56" s="65">
        <f>'Sem 26'!N57+'Sem 27'!F35</f>
        <v>48625.672800000008</v>
      </c>
    </row>
    <row r="57" spans="1:15" ht="15.75" thickBot="1" x14ac:dyDescent="0.3">
      <c r="A57" t="s">
        <v>45</v>
      </c>
      <c r="B57" s="21">
        <f>'Sem 29'!B56</f>
        <v>4703.57</v>
      </c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618.9</v>
      </c>
      <c r="O58" t="s">
        <v>271</v>
      </c>
    </row>
    <row r="59" spans="1:15" x14ac:dyDescent="0.25">
      <c r="A59" t="s">
        <v>46</v>
      </c>
      <c r="B59" s="73">
        <f>B56-B57</f>
        <v>-642.33999999999969</v>
      </c>
      <c r="M59" t="s">
        <v>210</v>
      </c>
      <c r="N59" s="113">
        <f>N56-N57</f>
        <v>32557.822223076932</v>
      </c>
      <c r="O59" s="21">
        <f>N59/_xlfn.ISOWEEKNUM($L$3)</f>
        <v>1085.260740769231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4" tint="0.59999389629810485"/>
    <pageSetUpPr fitToPage="1"/>
  </sheetPr>
  <dimension ref="A1:P59"/>
  <sheetViews>
    <sheetView workbookViewId="0">
      <selection activeCell="N32" sqref="N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43311</v>
      </c>
      <c r="C3" s="10"/>
      <c r="D3" s="9">
        <v>43312</v>
      </c>
      <c r="E3" s="10"/>
      <c r="F3" s="9">
        <v>43313</v>
      </c>
      <c r="G3" s="10"/>
      <c r="H3" s="9">
        <v>43314</v>
      </c>
      <c r="I3" s="10"/>
      <c r="J3" s="9">
        <v>43315</v>
      </c>
      <c r="K3" s="10"/>
      <c r="L3" s="9">
        <v>43316</v>
      </c>
      <c r="M3" s="10"/>
      <c r="N3" s="9">
        <v>43317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264.95</v>
      </c>
      <c r="E6" s="14">
        <v>150</v>
      </c>
      <c r="F6" s="14"/>
      <c r="G6" s="14"/>
      <c r="H6" s="14">
        <v>97.75</v>
      </c>
      <c r="I6" s="14">
        <v>250</v>
      </c>
      <c r="J6" s="14"/>
      <c r="K6" s="14"/>
      <c r="L6" s="14"/>
      <c r="M6" s="14"/>
      <c r="N6" s="14"/>
      <c r="O6" s="12">
        <f t="shared" si="0"/>
        <v>362.7</v>
      </c>
      <c r="P6" s="12">
        <f t="shared" si="1"/>
        <v>400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304.7</v>
      </c>
      <c r="G7" s="14"/>
      <c r="H7" s="14"/>
      <c r="I7" s="14"/>
      <c r="J7" s="14">
        <f>427.7-304.7</f>
        <v>123</v>
      </c>
      <c r="K7" s="14">
        <v>453.36</v>
      </c>
      <c r="L7" s="14"/>
      <c r="M7" s="14"/>
      <c r="N7" s="14"/>
      <c r="O7" s="12">
        <f t="shared" si="0"/>
        <v>427.7</v>
      </c>
      <c r="P7" s="12">
        <f t="shared" si="1"/>
        <v>453.36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152.5</v>
      </c>
      <c r="G9" s="14"/>
      <c r="H9" s="14">
        <f>396.55-152.5</f>
        <v>244.05</v>
      </c>
      <c r="I9" s="14">
        <v>420.34</v>
      </c>
      <c r="J9" s="14"/>
      <c r="K9" s="14"/>
      <c r="L9" s="14"/>
      <c r="M9" s="14"/>
      <c r="N9" s="14"/>
      <c r="O9" s="12">
        <f t="shared" si="0"/>
        <v>396.55</v>
      </c>
      <c r="P9" s="12">
        <f t="shared" si="1"/>
        <v>420.34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384.75</v>
      </c>
      <c r="K13" s="14"/>
      <c r="L13" s="14"/>
      <c r="M13" s="14"/>
      <c r="N13" s="14"/>
      <c r="O13" s="12">
        <f t="shared" si="0"/>
        <v>384.75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62.3</v>
      </c>
      <c r="K14" s="14">
        <v>66.040000000000006</v>
      </c>
      <c r="L14" s="14"/>
      <c r="M14" s="14"/>
      <c r="N14" s="14"/>
      <c r="O14" s="12">
        <f t="shared" si="0"/>
        <v>62.3</v>
      </c>
      <c r="P14" s="12">
        <f t="shared" si="1"/>
        <v>66.040000000000006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169.2</v>
      </c>
      <c r="I15" s="14">
        <v>169.07</v>
      </c>
      <c r="J15" s="14"/>
      <c r="K15" s="14"/>
      <c r="L15" s="14"/>
      <c r="M15" s="14"/>
      <c r="N15" s="14"/>
      <c r="O15" s="12">
        <f t="shared" si="0"/>
        <v>169.2</v>
      </c>
      <c r="P15" s="12">
        <f t="shared" si="1"/>
        <v>169.07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205.5</v>
      </c>
      <c r="G18" s="14">
        <v>282.17</v>
      </c>
      <c r="H18" s="14"/>
      <c r="I18" s="14"/>
      <c r="J18" s="14">
        <f>333.4-205.5+26.35</f>
        <v>154.24999999999997</v>
      </c>
      <c r="K18" s="14">
        <v>282.17</v>
      </c>
      <c r="L18" s="14"/>
      <c r="M18" s="14"/>
      <c r="N18" s="14"/>
      <c r="O18" s="12">
        <f t="shared" si="0"/>
        <v>359.75</v>
      </c>
      <c r="P18" s="12">
        <f t="shared" si="1"/>
        <v>564.34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95</v>
      </c>
      <c r="I23" s="17">
        <v>95</v>
      </c>
      <c r="J23" s="17">
        <v>65</v>
      </c>
      <c r="K23" s="17">
        <v>65</v>
      </c>
      <c r="L23" s="17"/>
      <c r="M23" s="17"/>
      <c r="N23" s="17"/>
      <c r="O23" s="49">
        <f t="shared" si="0"/>
        <v>160</v>
      </c>
      <c r="P23" s="49">
        <f t="shared" si="1"/>
        <v>160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264.95</v>
      </c>
      <c r="E24" s="21">
        <f t="shared" si="2"/>
        <v>150</v>
      </c>
      <c r="F24" s="21">
        <f t="shared" si="2"/>
        <v>662.7</v>
      </c>
      <c r="G24" s="21">
        <f t="shared" si="2"/>
        <v>282.17</v>
      </c>
      <c r="H24" s="21">
        <f t="shared" si="2"/>
        <v>606</v>
      </c>
      <c r="I24" s="21">
        <f t="shared" si="2"/>
        <v>934.40999999999985</v>
      </c>
      <c r="J24" s="21">
        <f t="shared" si="2"/>
        <v>789.3</v>
      </c>
      <c r="K24" s="21">
        <f t="shared" si="2"/>
        <v>866.56999999999994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2322.9499999999998</v>
      </c>
      <c r="P24" s="50">
        <f t="shared" si="2"/>
        <v>2233.15</v>
      </c>
    </row>
    <row r="25" spans="1:16" ht="15.75" thickBot="1" x14ac:dyDescent="0.3">
      <c r="N25" t="s">
        <v>55</v>
      </c>
      <c r="O25" s="50">
        <f>SUM(B24+D24+F24+H24+J24+L24+N24)</f>
        <v>2322.9499999999998</v>
      </c>
      <c r="P25" s="50">
        <f>SUM(C24+E24+G24+I24+K24+M24)</f>
        <v>2233.1499999999996</v>
      </c>
    </row>
    <row r="26" spans="1:16" ht="15.75" thickBot="1" x14ac:dyDescent="0.3">
      <c r="A26" t="s">
        <v>27</v>
      </c>
      <c r="B26" s="22">
        <f>O24</f>
        <v>2322.9499999999998</v>
      </c>
      <c r="D26" s="5" t="s">
        <v>30</v>
      </c>
      <c r="E26" s="47">
        <f>B50*1.5</f>
        <v>2058.48</v>
      </c>
    </row>
    <row r="27" spans="1:16" x14ac:dyDescent="0.25">
      <c r="A27" t="s">
        <v>28</v>
      </c>
      <c r="B27" s="22">
        <f>P24</f>
        <v>2233.15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2322.9499999999998</v>
      </c>
      <c r="H32" s="37"/>
      <c r="I32" s="26" t="s">
        <v>50</v>
      </c>
      <c r="J32" s="44">
        <f>F32</f>
        <v>2322.9499999999998</v>
      </c>
      <c r="L32" s="37"/>
      <c r="M32" s="27" t="s">
        <v>50</v>
      </c>
      <c r="N32" s="45">
        <f>'Sem 30'!N32+'Sem 31'!F32</f>
        <v>14513.990000000002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1372.32</v>
      </c>
      <c r="H33" s="37"/>
      <c r="I33" s="26" t="s">
        <v>51</v>
      </c>
      <c r="J33" s="44">
        <f>F33</f>
        <v>1372.32</v>
      </c>
      <c r="L33" s="37"/>
      <c r="M33" s="27" t="s">
        <v>51</v>
      </c>
      <c r="N33" s="45">
        <f>'Sem 30'!N33+'Sem 31'!F33</f>
        <v>8239.2240000000002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>
        <f>'Sem 30'!N34+'Sem 31'!F34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950.62999999999988</v>
      </c>
      <c r="H35" s="37"/>
      <c r="I35" s="26" t="s">
        <v>52</v>
      </c>
      <c r="J35" s="44">
        <f>F35</f>
        <v>950.62999999999988</v>
      </c>
      <c r="L35" s="37"/>
      <c r="M35" s="27" t="s">
        <v>52</v>
      </c>
      <c r="N35" s="45">
        <f>'Sem 30'!N35+'Sem 31'!F35</f>
        <v>6274.7660000000024</v>
      </c>
    </row>
    <row r="36" spans="1:15" x14ac:dyDescent="0.25">
      <c r="A36" t="s">
        <v>36</v>
      </c>
      <c r="B36" s="31">
        <v>633.41</v>
      </c>
      <c r="D36" s="37"/>
      <c r="E36" s="25" t="s">
        <v>53</v>
      </c>
      <c r="F36" s="43">
        <f>(F32-F33)/F33</f>
        <v>0.69271744199603591</v>
      </c>
      <c r="H36" s="37"/>
      <c r="I36" s="26" t="s">
        <v>53</v>
      </c>
      <c r="J36" s="52">
        <f>(J32-J33)/J33</f>
        <v>0.69271744199603591</v>
      </c>
      <c r="L36" s="37"/>
      <c r="M36" s="27" t="s">
        <v>53</v>
      </c>
      <c r="N36" s="53">
        <f>(N32-N33)/N33</f>
        <v>0.76157244905588217</v>
      </c>
    </row>
    <row r="37" spans="1:15" x14ac:dyDescent="0.25">
      <c r="A37" t="s">
        <v>37</v>
      </c>
      <c r="B37" s="31">
        <v>717.83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26.35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N49</f>
        <v>21.080000000000002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2322.9499999999998</v>
      </c>
      <c r="L48" s="37"/>
      <c r="M48" s="124" t="s">
        <v>219</v>
      </c>
      <c r="N48" s="129">
        <f>SUM(N41:N47)</f>
        <v>26.35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21.080000000000002</v>
      </c>
      <c r="O49" s="125"/>
    </row>
    <row r="50" spans="1:15" ht="15.75" thickBot="1" x14ac:dyDescent="0.3">
      <c r="A50" t="s">
        <v>42</v>
      </c>
      <c r="B50" s="33">
        <f>SUM(B33:B48)</f>
        <v>1372.32</v>
      </c>
      <c r="D50" s="37"/>
      <c r="G50" s="40"/>
      <c r="H50" s="37"/>
      <c r="I50" t="s">
        <v>62</v>
      </c>
      <c r="J50">
        <v>2162.9499999999998</v>
      </c>
      <c r="K50" s="41">
        <f>J50/K48</f>
        <v>0.93112206461611313</v>
      </c>
      <c r="L50" s="37"/>
      <c r="M50" s="124" t="s">
        <v>221</v>
      </c>
      <c r="N50" s="129">
        <f>N48-N49</f>
        <v>5.27</v>
      </c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160</v>
      </c>
      <c r="K51" s="41">
        <f>J51/K48</f>
        <v>6.8877935383886868E-2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762.26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114.8528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1090.8699999999999</v>
      </c>
      <c r="H55" s="37"/>
      <c r="L55" s="37"/>
    </row>
    <row r="56" spans="1:15" ht="15.75" thickBot="1" x14ac:dyDescent="0.3">
      <c r="A56" t="s">
        <v>44</v>
      </c>
      <c r="B56" s="33">
        <v>3620.8</v>
      </c>
      <c r="D56" s="37"/>
      <c r="H56" s="37"/>
      <c r="L56" s="37"/>
      <c r="M56" t="s">
        <v>236</v>
      </c>
      <c r="N56" s="65">
        <f>'Sem 30'!N56+'Sem 31'!F35</f>
        <v>49576.302800000005</v>
      </c>
    </row>
    <row r="57" spans="1:15" ht="15.75" thickBot="1" x14ac:dyDescent="0.3">
      <c r="A57" t="s">
        <v>45</v>
      </c>
      <c r="B57" s="21">
        <f>+'Sem 30'!B56</f>
        <v>4061.23</v>
      </c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1853.1299999999999</v>
      </c>
      <c r="O58" t="s">
        <v>271</v>
      </c>
    </row>
    <row r="59" spans="1:15" x14ac:dyDescent="0.25">
      <c r="A59" t="s">
        <v>46</v>
      </c>
      <c r="B59" s="21">
        <f>+B56-B57</f>
        <v>-440.42999999999984</v>
      </c>
      <c r="M59" t="s">
        <v>210</v>
      </c>
      <c r="N59" s="113">
        <f>N56-N57</f>
        <v>33508.452223076929</v>
      </c>
      <c r="O59" s="21">
        <f>N59/_xlfn.ISOWEEKNUM($L$3)</f>
        <v>1080.9178136476428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4" tint="0.59999389629810485"/>
    <pageSetUpPr fitToPage="1"/>
  </sheetPr>
  <dimension ref="A1:P59"/>
  <sheetViews>
    <sheetView topLeftCell="A25" workbookViewId="0">
      <selection activeCell="N57" sqref="N57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43318</v>
      </c>
      <c r="C3" s="10"/>
      <c r="D3" s="9">
        <v>43319</v>
      </c>
      <c r="E3" s="10"/>
      <c r="F3" s="9">
        <v>43320</v>
      </c>
      <c r="G3" s="10"/>
      <c r="H3" s="9">
        <v>43321</v>
      </c>
      <c r="I3" s="10"/>
      <c r="J3" s="9">
        <v>43322</v>
      </c>
      <c r="K3" s="10"/>
      <c r="L3" s="9">
        <v>43323</v>
      </c>
      <c r="M3" s="10"/>
      <c r="N3" s="9">
        <v>43324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>
        <v>531.5</v>
      </c>
      <c r="I4" s="12">
        <f>473.05+563.39</f>
        <v>1036.44</v>
      </c>
      <c r="J4" s="12"/>
      <c r="K4" s="12"/>
      <c r="L4" s="12"/>
      <c r="M4" s="12"/>
      <c r="N4" s="12"/>
      <c r="O4" s="12">
        <f>B4+D4+F4+H4+J4+L4+N4</f>
        <v>531.5</v>
      </c>
      <c r="P4" s="12">
        <f>C4+E4+G4+I4+K4+M4</f>
        <v>1036.44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212.3</v>
      </c>
      <c r="E6" s="14">
        <v>150</v>
      </c>
      <c r="F6" s="14"/>
      <c r="G6" s="14"/>
      <c r="H6" s="14">
        <v>250.59</v>
      </c>
      <c r="I6" s="14">
        <v>218.36</v>
      </c>
      <c r="J6" s="14"/>
      <c r="K6" s="14"/>
      <c r="L6" s="14"/>
      <c r="M6" s="14"/>
      <c r="N6" s="14"/>
      <c r="O6" s="12">
        <f t="shared" si="0"/>
        <v>462.89</v>
      </c>
      <c r="P6" s="12">
        <f t="shared" si="1"/>
        <v>368.36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129.25</v>
      </c>
      <c r="G7" s="14"/>
      <c r="H7" s="14"/>
      <c r="I7" s="14"/>
      <c r="J7" s="14">
        <f>471.75-129.25</f>
        <v>342.5</v>
      </c>
      <c r="K7" s="14">
        <v>500.06</v>
      </c>
      <c r="L7" s="14"/>
      <c r="M7" s="14"/>
      <c r="N7" s="14"/>
      <c r="O7" s="12">
        <f t="shared" si="0"/>
        <v>471.75</v>
      </c>
      <c r="P7" s="12">
        <f t="shared" si="1"/>
        <v>500.06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468.7</v>
      </c>
      <c r="K13" s="14"/>
      <c r="L13" s="14"/>
      <c r="M13" s="14"/>
      <c r="N13" s="14"/>
      <c r="O13" s="12">
        <f t="shared" si="0"/>
        <v>468.7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79.55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79.55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267.2</v>
      </c>
      <c r="I15" s="14">
        <v>179.35</v>
      </c>
      <c r="J15" s="14"/>
      <c r="K15" s="14"/>
      <c r="L15" s="14"/>
      <c r="M15" s="14"/>
      <c r="N15" s="14"/>
      <c r="O15" s="12">
        <f t="shared" si="0"/>
        <v>267.2</v>
      </c>
      <c r="P15" s="12">
        <f t="shared" si="1"/>
        <v>179.35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>
        <v>96.95</v>
      </c>
      <c r="I16" s="14"/>
      <c r="J16" s="14"/>
      <c r="K16" s="14"/>
      <c r="L16" s="14"/>
      <c r="M16" s="14"/>
      <c r="N16" s="14"/>
      <c r="O16" s="12">
        <f t="shared" si="0"/>
        <v>96.95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126.85</v>
      </c>
      <c r="G18" s="14">
        <v>385.28</v>
      </c>
      <c r="H18" s="14"/>
      <c r="I18" s="14"/>
      <c r="J18" s="14">
        <f>220.65-126.85</f>
        <v>93.800000000000011</v>
      </c>
      <c r="K18" s="14">
        <v>385.28</v>
      </c>
      <c r="L18" s="14"/>
      <c r="M18" s="14"/>
      <c r="N18" s="14"/>
      <c r="O18" s="12">
        <f t="shared" si="0"/>
        <v>220.65</v>
      </c>
      <c r="P18" s="12">
        <f t="shared" si="1"/>
        <v>770.56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65</v>
      </c>
      <c r="I23" s="17">
        <v>65</v>
      </c>
      <c r="J23" s="17">
        <v>89.4</v>
      </c>
      <c r="K23" s="17">
        <v>89.4</v>
      </c>
      <c r="L23" s="17"/>
      <c r="M23" s="17"/>
      <c r="N23" s="17"/>
      <c r="O23" s="49">
        <f t="shared" si="0"/>
        <v>154.4</v>
      </c>
      <c r="P23" s="49">
        <f t="shared" si="1"/>
        <v>154.4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212.3</v>
      </c>
      <c r="E24" s="21">
        <f t="shared" si="2"/>
        <v>150</v>
      </c>
      <c r="F24" s="21">
        <f t="shared" si="2"/>
        <v>335.65</v>
      </c>
      <c r="G24" s="21">
        <f t="shared" si="2"/>
        <v>385.28</v>
      </c>
      <c r="H24" s="21">
        <f t="shared" si="2"/>
        <v>1211.24</v>
      </c>
      <c r="I24" s="21">
        <f t="shared" si="2"/>
        <v>1499.15</v>
      </c>
      <c r="J24" s="21">
        <f t="shared" si="2"/>
        <v>994.4</v>
      </c>
      <c r="K24" s="21">
        <f t="shared" si="2"/>
        <v>974.7399999999999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2753.5899999999997</v>
      </c>
      <c r="P24" s="50">
        <f t="shared" si="2"/>
        <v>3009.17</v>
      </c>
    </row>
    <row r="25" spans="1:16" ht="15.75" thickBot="1" x14ac:dyDescent="0.3">
      <c r="N25" t="s">
        <v>55</v>
      </c>
      <c r="O25" s="50">
        <f>SUM(B24+D24+F24+H24+J24+L24+N24)</f>
        <v>2753.59</v>
      </c>
      <c r="P25" s="50">
        <f>SUM(C24+E24+G24+I24+K24+M24)</f>
        <v>3009.17</v>
      </c>
    </row>
    <row r="26" spans="1:16" ht="15.75" thickBot="1" x14ac:dyDescent="0.3">
      <c r="A26" t="s">
        <v>27</v>
      </c>
      <c r="B26" s="22">
        <f>O24</f>
        <v>2753.5899999999997</v>
      </c>
      <c r="D26" s="5" t="s">
        <v>30</v>
      </c>
      <c r="E26" s="47">
        <f>B50*1.5</f>
        <v>2731.5852</v>
      </c>
    </row>
    <row r="27" spans="1:16" x14ac:dyDescent="0.25">
      <c r="A27" t="s">
        <v>28</v>
      </c>
      <c r="B27" s="22">
        <f>P24</f>
        <v>3009.17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2753.5899999999997</v>
      </c>
      <c r="H32" s="37"/>
      <c r="I32" s="26" t="s">
        <v>50</v>
      </c>
      <c r="J32" s="44">
        <f>'Sem 31'!F32+'Sem 32'!F32</f>
        <v>5076.5399999999991</v>
      </c>
      <c r="L32" s="37"/>
      <c r="M32" s="27" t="s">
        <v>50</v>
      </c>
      <c r="N32" s="45">
        <f>'Sem 31'!N32+'Sem 32'!F32</f>
        <v>17267.580000000002</v>
      </c>
    </row>
    <row r="33" spans="1:15" x14ac:dyDescent="0.25">
      <c r="A33" t="s">
        <v>33</v>
      </c>
      <c r="B33" s="28">
        <f>IF(C33="","",(C33*1.16)+3.75+10)</f>
        <v>1283.3468</v>
      </c>
      <c r="C33" s="34">
        <v>1094.48</v>
      </c>
      <c r="D33" s="37"/>
      <c r="E33" s="25" t="s">
        <v>51</v>
      </c>
      <c r="F33" s="42">
        <f>B50</f>
        <v>1821.0568000000001</v>
      </c>
      <c r="H33" s="37"/>
      <c r="I33" s="26" t="s">
        <v>51</v>
      </c>
      <c r="J33" s="44">
        <f>'Sem 31'!F33+'Sem 32'!F33</f>
        <v>3193.3768</v>
      </c>
      <c r="L33" s="37"/>
      <c r="M33" s="27" t="s">
        <v>51</v>
      </c>
      <c r="N33" s="45">
        <f>'Sem 31'!N33+'Sem 32'!F33</f>
        <v>10060.2808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31'!F34+'Sem 32'!F34</f>
        <v>0</v>
      </c>
      <c r="L34" s="37"/>
      <c r="M34" s="27"/>
      <c r="N34" s="45">
        <f>'Sem 31'!N34+'Sem 32'!F34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932.53319999999962</v>
      </c>
      <c r="H35" s="37"/>
      <c r="I35" s="26" t="s">
        <v>52</v>
      </c>
      <c r="J35" s="44">
        <f>'Sem 31'!F35+'Sem 32'!F35</f>
        <v>1883.1631999999995</v>
      </c>
      <c r="L35" s="37"/>
      <c r="M35" s="27" t="s">
        <v>52</v>
      </c>
      <c r="N35" s="45">
        <f>'Sem 31'!N35+'Sem 32'!F35</f>
        <v>7207.2992000000022</v>
      </c>
    </row>
    <row r="36" spans="1:15" x14ac:dyDescent="0.25">
      <c r="A36" t="s">
        <v>36</v>
      </c>
      <c r="B36" s="31">
        <v>537.71</v>
      </c>
      <c r="D36" s="37"/>
      <c r="E36" s="25" t="s">
        <v>53</v>
      </c>
      <c r="F36" s="43">
        <f>(F32-F33)/F33</f>
        <v>0.51208353303422471</v>
      </c>
      <c r="H36" s="37"/>
      <c r="I36" s="26" t="s">
        <v>53</v>
      </c>
      <c r="J36" s="52">
        <f>(J32-J33)/J33</f>
        <v>0.58970905030687237</v>
      </c>
      <c r="L36" s="37"/>
      <c r="M36" s="27" t="s">
        <v>53</v>
      </c>
      <c r="N36" s="53">
        <f>(N32-N33)/N33</f>
        <v>0.71641133515875632</v>
      </c>
    </row>
    <row r="37" spans="1:15" x14ac:dyDescent="0.25">
      <c r="A37" t="s">
        <v>37</v>
      </c>
      <c r="B37" s="31"/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>
        <v>3983.21</v>
      </c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N49</f>
        <v>0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1123.1199999999999</v>
      </c>
      <c r="H48" s="37"/>
      <c r="I48" s="38" t="s">
        <v>61</v>
      </c>
      <c r="J48" s="38"/>
      <c r="K48" s="39">
        <f>F32</f>
        <v>2753.5899999999997</v>
      </c>
      <c r="L48" s="37"/>
      <c r="M48" s="124" t="s">
        <v>219</v>
      </c>
      <c r="N48" s="129"/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/>
      <c r="O49" s="125"/>
    </row>
    <row r="50" spans="1:15" ht="15.75" thickBot="1" x14ac:dyDescent="0.3">
      <c r="A50" t="s">
        <v>42</v>
      </c>
      <c r="B50" s="33">
        <f>SUM(B33:B48)</f>
        <v>1821.0568000000001</v>
      </c>
      <c r="D50" s="37"/>
      <c r="G50" s="40"/>
      <c r="H50" s="37"/>
      <c r="I50" t="s">
        <v>62</v>
      </c>
      <c r="J50">
        <v>2624.43</v>
      </c>
      <c r="K50" s="41">
        <f>J50/K48</f>
        <v>0.95309396097458232</v>
      </c>
      <c r="L50" s="37"/>
      <c r="M50" s="124" t="s">
        <v>221</v>
      </c>
      <c r="N50" s="129"/>
      <c r="O50" s="125"/>
    </row>
    <row r="51" spans="1:15" ht="15.75" x14ac:dyDescent="0.25">
      <c r="B51" s="21"/>
      <c r="D51" s="37"/>
      <c r="F51" t="s">
        <v>57</v>
      </c>
      <c r="G51" s="39">
        <f>SUM(G48:G50)</f>
        <v>1123.1199999999999</v>
      </c>
      <c r="H51" s="37"/>
      <c r="I51" t="s">
        <v>63</v>
      </c>
      <c r="J51" s="22">
        <f>K48-J50</f>
        <v>129.15999999999985</v>
      </c>
      <c r="K51" s="41">
        <f>J51/K48</f>
        <v>4.6906039025417678E-2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284.08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0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/>
      <c r="H55" s="37"/>
      <c r="L55" s="37"/>
    </row>
    <row r="56" spans="1:15" ht="15.75" thickBot="1" x14ac:dyDescent="0.3">
      <c r="A56" t="s">
        <v>44</v>
      </c>
      <c r="B56" s="33">
        <v>3620.8</v>
      </c>
      <c r="D56" s="37"/>
      <c r="H56" s="37"/>
      <c r="L56" s="37"/>
      <c r="M56" t="s">
        <v>236</v>
      </c>
      <c r="N56" s="65">
        <f>'Sem 31'!N56+'Sem 32'!F35</f>
        <v>50508.836000000003</v>
      </c>
    </row>
    <row r="57" spans="1:15" ht="15.75" thickBot="1" x14ac:dyDescent="0.3">
      <c r="A57" t="s">
        <v>45</v>
      </c>
      <c r="B57" s="21">
        <f>'Sem 31'!B56</f>
        <v>3620.8</v>
      </c>
      <c r="M57" t="s">
        <v>209</v>
      </c>
      <c r="N57" s="113">
        <f>'Nouv FRAIS'!G46*_xlfn.ISOWEEKNUM(L3)</f>
        <v>19043.378461538461</v>
      </c>
    </row>
    <row r="58" spans="1:15" ht="16.5" thickBot="1" x14ac:dyDescent="0.3">
      <c r="B58" s="21"/>
      <c r="E58" t="s">
        <v>65</v>
      </c>
      <c r="G58" s="48">
        <f>SUM(G48:G50)+SUM(G53:G55)</f>
        <v>1407.1999999999998</v>
      </c>
      <c r="O58" t="s">
        <v>271</v>
      </c>
    </row>
    <row r="59" spans="1:15" x14ac:dyDescent="0.25">
      <c r="A59" t="s">
        <v>46</v>
      </c>
      <c r="B59" s="21"/>
      <c r="M59" t="s">
        <v>210</v>
      </c>
      <c r="N59" s="113">
        <f>N56-N57</f>
        <v>31465.457538461542</v>
      </c>
      <c r="O59" s="21">
        <f>N59/_xlfn.ISOWEEKNUM($L$3)</f>
        <v>983.29554807692318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4" tint="0.59999389629810485"/>
    <pageSetUpPr fitToPage="1"/>
  </sheetPr>
  <dimension ref="A1:P59"/>
  <sheetViews>
    <sheetView topLeftCell="A22" workbookViewId="0">
      <selection activeCell="B60" sqref="B6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43325</v>
      </c>
      <c r="C3" s="10"/>
      <c r="D3" s="9">
        <v>43326</v>
      </c>
      <c r="E3" s="10"/>
      <c r="F3" s="9">
        <v>43327</v>
      </c>
      <c r="G3" s="10"/>
      <c r="H3" s="9">
        <v>43328</v>
      </c>
      <c r="I3" s="10"/>
      <c r="J3" s="9">
        <v>43329</v>
      </c>
      <c r="K3" s="10"/>
      <c r="L3" s="9">
        <v>43330</v>
      </c>
      <c r="M3" s="10"/>
      <c r="N3" s="9">
        <v>43331</v>
      </c>
      <c r="O3" s="10"/>
      <c r="P3" s="10"/>
    </row>
    <row r="4" spans="1:16" ht="19.5" thickTop="1" x14ac:dyDescent="0.3">
      <c r="A4" s="18" t="s">
        <v>10</v>
      </c>
      <c r="B4" s="11">
        <v>469.95</v>
      </c>
      <c r="C4" s="12"/>
      <c r="D4" s="12">
        <v>351.2</v>
      </c>
      <c r="E4" s="12"/>
      <c r="F4" s="12"/>
      <c r="G4" s="12"/>
      <c r="H4" s="12">
        <v>322</v>
      </c>
      <c r="I4" s="12"/>
      <c r="J4" s="12"/>
      <c r="K4" s="12"/>
      <c r="L4" s="12"/>
      <c r="M4" s="12"/>
      <c r="N4" s="12"/>
      <c r="O4" s="12">
        <f>B4+D4+F4+H4+J4+L4+N4</f>
        <v>1143.1500000000001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73.75</v>
      </c>
      <c r="I5" s="14"/>
      <c r="J5" s="14"/>
      <c r="K5" s="14"/>
      <c r="L5" s="14"/>
      <c r="M5" s="14"/>
      <c r="N5" s="14"/>
      <c r="O5" s="12">
        <f t="shared" ref="O5:O23" si="0">B5+D5+F5+H5+J5+L5+N5</f>
        <v>73.75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>
        <v>149</v>
      </c>
      <c r="C6" s="14">
        <v>405.29</v>
      </c>
      <c r="D6" s="14">
        <v>191</v>
      </c>
      <c r="E6" s="14"/>
      <c r="F6" s="14"/>
      <c r="G6" s="14"/>
      <c r="H6" s="14">
        <v>215.5</v>
      </c>
      <c r="I6" s="14">
        <v>324.14999999999998</v>
      </c>
      <c r="J6" s="14"/>
      <c r="K6" s="14"/>
      <c r="L6" s="14"/>
      <c r="M6" s="14"/>
      <c r="N6" s="14"/>
      <c r="O6" s="12">
        <f t="shared" si="0"/>
        <v>555.5</v>
      </c>
      <c r="P6" s="12">
        <f t="shared" si="1"/>
        <v>729.44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504.1</v>
      </c>
      <c r="K7" s="14">
        <v>250</v>
      </c>
      <c r="L7" s="14"/>
      <c r="M7" s="14"/>
      <c r="N7" s="14"/>
      <c r="O7" s="12">
        <f t="shared" si="0"/>
        <v>504.1</v>
      </c>
      <c r="P7" s="12">
        <f t="shared" si="1"/>
        <v>250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61.2</v>
      </c>
      <c r="K14" s="14">
        <f>64.87+84.32</f>
        <v>149.19</v>
      </c>
      <c r="L14" s="14"/>
      <c r="M14" s="14"/>
      <c r="N14" s="14"/>
      <c r="O14" s="12">
        <f t="shared" si="0"/>
        <v>61.2</v>
      </c>
      <c r="P14" s="12">
        <f t="shared" si="1"/>
        <v>149.19</v>
      </c>
    </row>
    <row r="15" spans="1:16" ht="18.75" x14ac:dyDescent="0.3">
      <c r="A15" s="19" t="s">
        <v>21</v>
      </c>
      <c r="B15" s="13">
        <v>18</v>
      </c>
      <c r="C15" s="14"/>
      <c r="D15" s="14">
        <v>96.3</v>
      </c>
      <c r="E15" s="14">
        <f>102.08+169.07</f>
        <v>271.14999999999998</v>
      </c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114.3</v>
      </c>
      <c r="P15" s="12">
        <f t="shared" si="1"/>
        <v>271.14999999999998</v>
      </c>
    </row>
    <row r="16" spans="1:16" ht="18.75" x14ac:dyDescent="0.3">
      <c r="A16" s="19" t="s">
        <v>22</v>
      </c>
      <c r="B16" s="13"/>
      <c r="C16" s="14"/>
      <c r="D16" s="14">
        <v>139.5</v>
      </c>
      <c r="E16" s="14">
        <f>8.45+117.61</f>
        <v>126.06</v>
      </c>
      <c r="F16" s="14"/>
      <c r="G16" s="14"/>
      <c r="H16" s="14">
        <v>257.5</v>
      </c>
      <c r="I16" s="14"/>
      <c r="J16" s="14"/>
      <c r="K16" s="14"/>
      <c r="L16" s="14"/>
      <c r="M16" s="14"/>
      <c r="N16" s="14"/>
      <c r="O16" s="12">
        <f t="shared" si="0"/>
        <v>397</v>
      </c>
      <c r="P16" s="12">
        <f t="shared" si="1"/>
        <v>126.06</v>
      </c>
    </row>
    <row r="17" spans="1:16" ht="18.75" x14ac:dyDescent="0.3">
      <c r="A17" s="18" t="s">
        <v>23</v>
      </c>
      <c r="B17" s="13"/>
      <c r="C17" s="14"/>
      <c r="D17" s="14">
        <v>355.15</v>
      </c>
      <c r="E17" s="14"/>
      <c r="F17" s="14"/>
      <c r="G17" s="14"/>
      <c r="H17" s="14">
        <v>61</v>
      </c>
      <c r="I17" s="14"/>
      <c r="J17" s="14"/>
      <c r="K17" s="14"/>
      <c r="L17" s="14"/>
      <c r="M17" s="14"/>
      <c r="N17" s="14"/>
      <c r="O17" s="12">
        <f t="shared" si="0"/>
        <v>416.15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175.15</v>
      </c>
      <c r="G18" s="14"/>
      <c r="H18" s="14"/>
      <c r="I18" s="14"/>
      <c r="J18" s="14">
        <f>299.25-175.15+14</f>
        <v>138.1</v>
      </c>
      <c r="K18" s="14">
        <v>233.89</v>
      </c>
      <c r="L18" s="14"/>
      <c r="M18" s="14"/>
      <c r="N18" s="14"/>
      <c r="O18" s="12">
        <f t="shared" si="0"/>
        <v>313.25</v>
      </c>
      <c r="P18" s="12">
        <f t="shared" si="1"/>
        <v>233.89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136.5</v>
      </c>
      <c r="I23" s="17">
        <v>136.5</v>
      </c>
      <c r="J23" s="17">
        <v>65</v>
      </c>
      <c r="K23" s="17">
        <v>65</v>
      </c>
      <c r="L23" s="17"/>
      <c r="M23" s="17"/>
      <c r="N23" s="17"/>
      <c r="O23" s="49">
        <f t="shared" si="0"/>
        <v>201.5</v>
      </c>
      <c r="P23" s="49">
        <f t="shared" si="1"/>
        <v>201.5</v>
      </c>
    </row>
    <row r="24" spans="1:16" x14ac:dyDescent="0.25">
      <c r="A24" t="s">
        <v>54</v>
      </c>
      <c r="B24" s="21">
        <f>SUM(B4:B23)</f>
        <v>636.95000000000005</v>
      </c>
      <c r="C24" s="21">
        <f t="shared" ref="C24:P24" si="2">SUM(C4:C23)</f>
        <v>405.29</v>
      </c>
      <c r="D24" s="21">
        <f t="shared" si="2"/>
        <v>1133.1500000000001</v>
      </c>
      <c r="E24" s="21">
        <f t="shared" si="2"/>
        <v>397.21</v>
      </c>
      <c r="F24" s="21">
        <f t="shared" si="2"/>
        <v>175.15</v>
      </c>
      <c r="G24" s="21">
        <f t="shared" si="2"/>
        <v>0</v>
      </c>
      <c r="H24" s="21">
        <f t="shared" si="2"/>
        <v>1066.25</v>
      </c>
      <c r="I24" s="21">
        <f t="shared" si="2"/>
        <v>460.65</v>
      </c>
      <c r="J24" s="21">
        <f t="shared" si="2"/>
        <v>768.40000000000009</v>
      </c>
      <c r="K24" s="21">
        <f t="shared" si="2"/>
        <v>698.07999999999993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3779.9</v>
      </c>
      <c r="P24" s="50">
        <f t="shared" si="2"/>
        <v>1961.23</v>
      </c>
    </row>
    <row r="25" spans="1:16" ht="15.75" thickBot="1" x14ac:dyDescent="0.3">
      <c r="N25" t="s">
        <v>55</v>
      </c>
      <c r="O25" s="50">
        <f>SUM(B24+D24+F24+H24+J24+L24+N24)</f>
        <v>3779.9</v>
      </c>
      <c r="P25" s="50">
        <f>SUM(C24+E24+G24+I24+K24+M24)</f>
        <v>1961.23</v>
      </c>
    </row>
    <row r="26" spans="1:16" ht="15.75" thickBot="1" x14ac:dyDescent="0.3">
      <c r="A26" t="s">
        <v>27</v>
      </c>
      <c r="B26" s="22">
        <f>O24</f>
        <v>3779.9</v>
      </c>
      <c r="D26" s="5" t="s">
        <v>30</v>
      </c>
      <c r="E26" s="47">
        <f>B50*1.5</f>
        <v>4033.8804</v>
      </c>
    </row>
    <row r="27" spans="1:16" x14ac:dyDescent="0.25">
      <c r="A27" t="s">
        <v>28</v>
      </c>
      <c r="B27" s="22">
        <f>P24</f>
        <v>1961.23</v>
      </c>
      <c r="E27" s="65">
        <f>((B50-B43)*1.5)+(B43*1.2)</f>
        <v>4009.0283999999997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3779.9</v>
      </c>
      <c r="H32" s="37"/>
      <c r="I32" s="26" t="s">
        <v>50</v>
      </c>
      <c r="J32" s="44">
        <f>'Sem 32'!J32+'Sem 33'!F32</f>
        <v>8856.4399999999987</v>
      </c>
      <c r="L32" s="37"/>
      <c r="M32" s="27" t="s">
        <v>50</v>
      </c>
      <c r="N32" s="45">
        <f>'Sem 32'!N32+'Sem 33'!F32</f>
        <v>21047.480000000003</v>
      </c>
    </row>
    <row r="33" spans="1:15" x14ac:dyDescent="0.25">
      <c r="A33" t="s">
        <v>33</v>
      </c>
      <c r="B33" s="28">
        <f>IF(C33="","",(C33*1.16)+3.75+10)</f>
        <v>1464.2836</v>
      </c>
      <c r="C33" s="34">
        <v>1250.46</v>
      </c>
      <c r="D33" s="37"/>
      <c r="E33" s="25" t="s">
        <v>51</v>
      </c>
      <c r="F33" s="42">
        <f>B50</f>
        <v>2689.2536</v>
      </c>
      <c r="H33" s="37"/>
      <c r="I33" s="26" t="s">
        <v>51</v>
      </c>
      <c r="J33" s="44">
        <f>'Sem 32'!J33+'Sem 33'!F33</f>
        <v>5882.6304</v>
      </c>
      <c r="L33" s="37"/>
      <c r="M33" s="27" t="s">
        <v>51</v>
      </c>
      <c r="N33" s="45">
        <f>'Sem 32'!N33+'Sem 33'!F33</f>
        <v>12749.5344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32'!J34+'Sem 33'!F34</f>
        <v>0</v>
      </c>
      <c r="L34" s="37"/>
      <c r="M34" s="27"/>
      <c r="N34" s="45">
        <f>'Sem 32'!N34+'Sem 33'!F34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1090.6464000000001</v>
      </c>
      <c r="H35" s="37"/>
      <c r="I35" s="26" t="s">
        <v>52</v>
      </c>
      <c r="J35" s="44">
        <f>'Sem 32'!J35+'Sem 33'!F35</f>
        <v>2973.8095999999996</v>
      </c>
      <c r="L35" s="37"/>
      <c r="M35" s="27" t="s">
        <v>52</v>
      </c>
      <c r="N35" s="45">
        <f>'Sem 32'!N35+'Sem 33'!F35</f>
        <v>8297.9456000000027</v>
      </c>
    </row>
    <row r="36" spans="1:15" x14ac:dyDescent="0.25">
      <c r="A36" t="s">
        <v>36</v>
      </c>
      <c r="B36" s="31">
        <v>1142.1300000000001</v>
      </c>
      <c r="D36" s="37"/>
      <c r="E36" s="25" t="s">
        <v>53</v>
      </c>
      <c r="F36" s="43">
        <f>(F32-F33)/F33</f>
        <v>0.40555728920470724</v>
      </c>
      <c r="H36" s="37"/>
      <c r="I36" s="26" t="s">
        <v>53</v>
      </c>
      <c r="J36" s="52">
        <f>(J32-J33)/J33</f>
        <v>0.50552378745399318</v>
      </c>
      <c r="L36" s="37"/>
      <c r="M36" s="27" t="s">
        <v>53</v>
      </c>
      <c r="N36" s="53">
        <f>(N32-N33)/N33</f>
        <v>0.65084303000115851</v>
      </c>
    </row>
    <row r="37" spans="1:15" x14ac:dyDescent="0.25">
      <c r="A37" t="s">
        <v>37</v>
      </c>
      <c r="B37" s="31"/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14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>
        <v>89.55</v>
      </c>
      <c r="O42" s="125"/>
    </row>
    <row r="43" spans="1:15" x14ac:dyDescent="0.25">
      <c r="A43" t="s">
        <v>40</v>
      </c>
      <c r="B43" s="21">
        <f>N49</f>
        <v>82.84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1156.72</v>
      </c>
      <c r="H48" s="37"/>
      <c r="I48" s="38" t="s">
        <v>61</v>
      </c>
      <c r="J48" s="38"/>
      <c r="K48" s="39">
        <f>F32</f>
        <v>3779.9</v>
      </c>
      <c r="L48" s="37"/>
      <c r="M48" s="124" t="s">
        <v>219</v>
      </c>
      <c r="N48" s="129">
        <f>SUM(N41:N47)</f>
        <v>103.55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82.84</v>
      </c>
      <c r="O49" s="125"/>
    </row>
    <row r="50" spans="1:15" ht="15.75" thickBot="1" x14ac:dyDescent="0.3">
      <c r="A50" t="s">
        <v>42</v>
      </c>
      <c r="B50" s="33">
        <f>SUM(B33:B48)</f>
        <v>2689.2536</v>
      </c>
      <c r="D50" s="37"/>
      <c r="G50" s="40"/>
      <c r="H50" s="37"/>
      <c r="I50" t="s">
        <v>62</v>
      </c>
      <c r="J50" s="21">
        <v>3654</v>
      </c>
      <c r="K50" s="41">
        <f>J50/K48</f>
        <v>0.96669224053546388</v>
      </c>
      <c r="L50" s="37"/>
      <c r="M50" s="124" t="s">
        <v>221</v>
      </c>
      <c r="N50" s="129">
        <f>N48-N49</f>
        <v>20.709999999999994</v>
      </c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125.90000000000009</v>
      </c>
      <c r="K51" s="41">
        <f>J51/K48</f>
        <v>3.3307759464536124E-2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1357.31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0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/>
      <c r="H55" s="37"/>
      <c r="L55" s="37"/>
    </row>
    <row r="56" spans="1:15" ht="15.75" thickBot="1" x14ac:dyDescent="0.3">
      <c r="A56" t="s">
        <v>44</v>
      </c>
      <c r="B56" s="33">
        <v>6266.61</v>
      </c>
      <c r="D56" s="37"/>
      <c r="H56" s="37"/>
      <c r="L56" s="37"/>
      <c r="M56" t="s">
        <v>236</v>
      </c>
      <c r="N56" s="65">
        <f>'Sem 32'!N56+'Sem 33'!F35</f>
        <v>51599.482400000001</v>
      </c>
    </row>
    <row r="57" spans="1:15" ht="15.75" thickBot="1" x14ac:dyDescent="0.3">
      <c r="A57" t="s">
        <v>45</v>
      </c>
      <c r="B57" s="21">
        <f>'Sem 32'!B57</f>
        <v>3620.8</v>
      </c>
      <c r="M57" t="s">
        <v>209</v>
      </c>
      <c r="N57" s="113">
        <f>'Nouv FRAIS'!G46*_xlfn.ISOWEEKNUM(L3)</f>
        <v>19638.484038461538</v>
      </c>
    </row>
    <row r="58" spans="1:15" ht="16.5" thickBot="1" x14ac:dyDescent="0.3">
      <c r="B58" s="21"/>
      <c r="E58" t="s">
        <v>65</v>
      </c>
      <c r="G58" s="48">
        <f>SUM(G48:G50)+SUM(G53:G55)</f>
        <v>2514.0299999999997</v>
      </c>
      <c r="O58" t="s">
        <v>271</v>
      </c>
    </row>
    <row r="59" spans="1:15" x14ac:dyDescent="0.25">
      <c r="A59" t="s">
        <v>46</v>
      </c>
      <c r="B59" s="21">
        <f>B56-B57</f>
        <v>2645.8099999999995</v>
      </c>
      <c r="M59" t="s">
        <v>210</v>
      </c>
      <c r="N59" s="113">
        <f>N56-N57</f>
        <v>31960.998361538463</v>
      </c>
      <c r="O59" s="21">
        <f>N59/_xlfn.ISOWEEKNUM($L$3)</f>
        <v>968.51510186480186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4" tint="0.59999389629810485"/>
    <pageSetUpPr fitToPage="1"/>
  </sheetPr>
  <dimension ref="A1:P59"/>
  <sheetViews>
    <sheetView topLeftCell="A31" workbookViewId="0">
      <selection activeCell="N57" sqref="N57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43332</v>
      </c>
      <c r="C3" s="10"/>
      <c r="D3" s="9">
        <v>43333</v>
      </c>
      <c r="E3" s="10"/>
      <c r="F3" s="9">
        <v>43334</v>
      </c>
      <c r="G3" s="10"/>
      <c r="H3" s="9">
        <v>43335</v>
      </c>
      <c r="I3" s="10"/>
      <c r="J3" s="9">
        <v>43336</v>
      </c>
      <c r="K3" s="10"/>
      <c r="L3" s="9">
        <v>43337</v>
      </c>
      <c r="M3" s="10"/>
      <c r="N3" s="9">
        <v>43338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292.45</v>
      </c>
      <c r="E4" s="12">
        <v>1305.31</v>
      </c>
      <c r="F4" s="12"/>
      <c r="G4" s="12"/>
      <c r="H4" s="12">
        <f>439.95-292.45</f>
        <v>147.5</v>
      </c>
      <c r="I4" s="12">
        <v>466.35</v>
      </c>
      <c r="J4" s="12"/>
      <c r="K4" s="12"/>
      <c r="L4" s="12"/>
      <c r="M4" s="12"/>
      <c r="N4" s="12"/>
      <c r="O4" s="12">
        <f>B4+D4+F4+H4+J4+L4+N4</f>
        <v>439.95</v>
      </c>
      <c r="P4" s="12">
        <f>C4+E4+G4+I4+K4+M4</f>
        <v>1771.6599999999999</v>
      </c>
    </row>
    <row r="5" spans="1:16" ht="18.75" x14ac:dyDescent="0.3">
      <c r="A5" s="18" t="s">
        <v>11</v>
      </c>
      <c r="B5" s="13"/>
      <c r="C5" s="14"/>
      <c r="D5" s="14">
        <v>46</v>
      </c>
      <c r="E5" s="14"/>
      <c r="F5" s="14"/>
      <c r="G5" s="14"/>
      <c r="H5" s="14">
        <v>72.5</v>
      </c>
      <c r="I5" s="14"/>
      <c r="J5" s="14"/>
      <c r="K5" s="14"/>
      <c r="L5" s="14"/>
      <c r="M5" s="14"/>
      <c r="N5" s="14"/>
      <c r="O5" s="12">
        <f t="shared" ref="O5:O23" si="0">B5+D5+F5+H5+J5+L5+N5</f>
        <v>118.5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477.5</v>
      </c>
      <c r="E6" s="14">
        <v>100</v>
      </c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477.5</v>
      </c>
      <c r="P6" s="12">
        <f t="shared" si="1"/>
        <v>100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383.2</v>
      </c>
      <c r="G7" s="14"/>
      <c r="H7" s="14"/>
      <c r="I7" s="14"/>
      <c r="J7" s="14">
        <f>611-383.2</f>
        <v>227.8</v>
      </c>
      <c r="K7" s="14">
        <v>647.66</v>
      </c>
      <c r="L7" s="14"/>
      <c r="M7" s="14"/>
      <c r="N7" s="14"/>
      <c r="O7" s="12">
        <f t="shared" si="0"/>
        <v>611</v>
      </c>
      <c r="P7" s="12">
        <f t="shared" si="1"/>
        <v>647.66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f>93.65+82.95</f>
        <v>176.60000000000002</v>
      </c>
      <c r="I9" s="14"/>
      <c r="J9" s="14"/>
      <c r="K9" s="14"/>
      <c r="L9" s="14">
        <v>410.25</v>
      </c>
      <c r="M9" s="14"/>
      <c r="N9" s="14"/>
      <c r="O9" s="12">
        <f t="shared" si="0"/>
        <v>586.85</v>
      </c>
      <c r="P9" s="12">
        <f t="shared" si="1"/>
        <v>0</v>
      </c>
    </row>
    <row r="10" spans="1:16" ht="18.75" x14ac:dyDescent="0.3">
      <c r="A10" s="69" t="s">
        <v>16</v>
      </c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>
        <f t="shared" si="0"/>
        <v>0</v>
      </c>
      <c r="P10" s="72">
        <f t="shared" si="1"/>
        <v>0</v>
      </c>
    </row>
    <row r="11" spans="1:16" ht="18.75" x14ac:dyDescent="0.3">
      <c r="A11" s="69" t="s">
        <v>17</v>
      </c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2">
        <f t="shared" si="0"/>
        <v>0</v>
      </c>
      <c r="P11" s="7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>
        <v>448.15</v>
      </c>
      <c r="C13" s="14"/>
      <c r="D13" s="14"/>
      <c r="E13" s="14"/>
      <c r="F13" s="14"/>
      <c r="G13" s="14"/>
      <c r="H13" s="14"/>
      <c r="I13" s="14"/>
      <c r="J13" s="14">
        <v>287.89999999999998</v>
      </c>
      <c r="K13" s="14"/>
      <c r="L13" s="14"/>
      <c r="M13" s="14"/>
      <c r="N13" s="14"/>
      <c r="O13" s="12">
        <f t="shared" si="0"/>
        <v>736.05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f>176.5+26.35</f>
        <v>202.85</v>
      </c>
      <c r="E16" s="14">
        <v>420.82</v>
      </c>
      <c r="F16" s="14"/>
      <c r="G16" s="14"/>
      <c r="H16" s="14">
        <v>296.8</v>
      </c>
      <c r="I16" s="14"/>
      <c r="J16" s="14"/>
      <c r="K16" s="14"/>
      <c r="L16" s="14"/>
      <c r="M16" s="14"/>
      <c r="N16" s="14"/>
      <c r="O16" s="12">
        <f t="shared" si="0"/>
        <v>499.65</v>
      </c>
      <c r="P16" s="12">
        <f t="shared" si="1"/>
        <v>420.82</v>
      </c>
    </row>
    <row r="17" spans="1:16" ht="18.75" x14ac:dyDescent="0.3">
      <c r="A17" s="18" t="s">
        <v>23</v>
      </c>
      <c r="B17" s="13"/>
      <c r="C17" s="14"/>
      <c r="D17" s="14">
        <v>219.8</v>
      </c>
      <c r="E17" s="14"/>
      <c r="F17" s="14"/>
      <c r="G17" s="14"/>
      <c r="H17" s="14">
        <v>141.5</v>
      </c>
      <c r="I17" s="14"/>
      <c r="J17" s="14"/>
      <c r="K17" s="14"/>
      <c r="L17" s="14"/>
      <c r="M17" s="14"/>
      <c r="N17" s="14"/>
      <c r="O17" s="12">
        <f t="shared" si="0"/>
        <v>361.3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94.8</v>
      </c>
      <c r="G18" s="14">
        <v>334.15</v>
      </c>
      <c r="H18" s="14"/>
      <c r="I18" s="14"/>
      <c r="J18" s="14">
        <f>521.15-94.8</f>
        <v>426.34999999999997</v>
      </c>
      <c r="K18" s="14"/>
      <c r="L18" s="14"/>
      <c r="M18" s="14"/>
      <c r="N18" s="14"/>
      <c r="O18" s="12">
        <f t="shared" si="0"/>
        <v>521.15</v>
      </c>
      <c r="P18" s="12">
        <f t="shared" si="1"/>
        <v>334.15</v>
      </c>
    </row>
    <row r="19" spans="1:16" ht="18.75" x14ac:dyDescent="0.3">
      <c r="A19" s="20" t="s">
        <v>286</v>
      </c>
      <c r="B19" s="15">
        <v>153.55000000000001</v>
      </c>
      <c r="C19" s="14"/>
      <c r="D19" s="14"/>
      <c r="E19" s="14"/>
      <c r="F19" s="14"/>
      <c r="G19" s="14"/>
      <c r="H19" s="14">
        <v>137.15</v>
      </c>
      <c r="I19" s="14"/>
      <c r="J19" s="14"/>
      <c r="K19" s="14"/>
      <c r="L19" s="14"/>
      <c r="M19" s="14"/>
      <c r="N19" s="14"/>
      <c r="O19" s="12">
        <f t="shared" si="0"/>
        <v>290.70000000000005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>
        <v>133</v>
      </c>
      <c r="E23" s="17">
        <v>133</v>
      </c>
      <c r="F23" s="17">
        <v>65</v>
      </c>
      <c r="G23" s="17">
        <v>65</v>
      </c>
      <c r="H23" s="17">
        <v>281.10000000000002</v>
      </c>
      <c r="I23" s="17">
        <v>281.10000000000002</v>
      </c>
      <c r="J23" s="17">
        <v>67</v>
      </c>
      <c r="K23" s="17">
        <v>67</v>
      </c>
      <c r="L23" s="17"/>
      <c r="M23" s="17"/>
      <c r="N23" s="17"/>
      <c r="O23" s="49">
        <f t="shared" si="0"/>
        <v>546.1</v>
      </c>
      <c r="P23" s="49">
        <f t="shared" si="1"/>
        <v>546.1</v>
      </c>
    </row>
    <row r="24" spans="1:16" x14ac:dyDescent="0.25">
      <c r="A24" t="s">
        <v>54</v>
      </c>
      <c r="B24" s="21">
        <f>SUM(B4:B23)</f>
        <v>601.70000000000005</v>
      </c>
      <c r="C24" s="21">
        <f t="shared" ref="C24:P24" si="2">SUM(C4:C23)</f>
        <v>0</v>
      </c>
      <c r="D24" s="21">
        <f t="shared" si="2"/>
        <v>1371.6000000000001</v>
      </c>
      <c r="E24" s="21">
        <f t="shared" si="2"/>
        <v>1959.1299999999999</v>
      </c>
      <c r="F24" s="21">
        <f t="shared" si="2"/>
        <v>543</v>
      </c>
      <c r="G24" s="21">
        <f t="shared" si="2"/>
        <v>399.15</v>
      </c>
      <c r="H24" s="21">
        <f t="shared" si="2"/>
        <v>1253.1500000000001</v>
      </c>
      <c r="I24" s="21">
        <f t="shared" si="2"/>
        <v>747.45</v>
      </c>
      <c r="J24" s="21">
        <f t="shared" si="2"/>
        <v>1009.05</v>
      </c>
      <c r="K24" s="21">
        <f t="shared" si="2"/>
        <v>714.66</v>
      </c>
      <c r="L24" s="21">
        <f t="shared" si="2"/>
        <v>410.25</v>
      </c>
      <c r="M24" s="21">
        <f t="shared" si="2"/>
        <v>0</v>
      </c>
      <c r="N24" s="21">
        <f t="shared" si="2"/>
        <v>0</v>
      </c>
      <c r="O24" s="50">
        <f t="shared" si="2"/>
        <v>5188.7500000000009</v>
      </c>
      <c r="P24" s="50">
        <f t="shared" si="2"/>
        <v>3820.39</v>
      </c>
    </row>
    <row r="25" spans="1:16" ht="15.75" thickBot="1" x14ac:dyDescent="0.3">
      <c r="N25" t="s">
        <v>55</v>
      </c>
      <c r="O25" s="50">
        <f>SUM(B24+D24+F24+H24+J24+L24+N24)</f>
        <v>5188.75</v>
      </c>
      <c r="P25" s="50">
        <f>SUM(C24+E24+G24+I24+K24+M24)</f>
        <v>3820.3899999999994</v>
      </c>
    </row>
    <row r="26" spans="1:16" ht="15.75" thickBot="1" x14ac:dyDescent="0.3">
      <c r="A26" t="s">
        <v>27</v>
      </c>
      <c r="B26" s="22">
        <f>O24</f>
        <v>5188.7500000000009</v>
      </c>
      <c r="D26" s="5" t="s">
        <v>30</v>
      </c>
      <c r="E26" s="47">
        <f>B50*1.5</f>
        <v>5454.320999999999</v>
      </c>
    </row>
    <row r="27" spans="1:16" x14ac:dyDescent="0.25">
      <c r="A27" t="s">
        <v>28</v>
      </c>
      <c r="B27" s="22">
        <f>P24</f>
        <v>3820.39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5188.7500000000009</v>
      </c>
      <c r="H32" s="37"/>
      <c r="I32" s="26" t="s">
        <v>50</v>
      </c>
      <c r="J32" s="44">
        <f>'Sem 33'!J32+'Sem 34'!F32</f>
        <v>14045.189999999999</v>
      </c>
      <c r="L32" s="37"/>
      <c r="M32" s="27" t="s">
        <v>50</v>
      </c>
      <c r="N32" s="45">
        <f>'Sem 33'!N32+'Sem 34'!F32</f>
        <v>26236.230000000003</v>
      </c>
    </row>
    <row r="33" spans="1:15" x14ac:dyDescent="0.25">
      <c r="A33" t="s">
        <v>33</v>
      </c>
      <c r="B33" s="28">
        <f>IF(C33="","",(C33*1.16)+3.75+10)</f>
        <v>2256.2039999999997</v>
      </c>
      <c r="C33" s="34">
        <v>1933.15</v>
      </c>
      <c r="D33" s="37"/>
      <c r="E33" s="25" t="s">
        <v>51</v>
      </c>
      <c r="F33" s="42">
        <f>B50</f>
        <v>3636.2139999999995</v>
      </c>
      <c r="H33" s="37"/>
      <c r="I33" s="26" t="s">
        <v>51</v>
      </c>
      <c r="J33" s="44">
        <f>'Sem 33'!J33+'Sem 34'!F33</f>
        <v>9518.8444</v>
      </c>
      <c r="L33" s="37"/>
      <c r="M33" s="27" t="s">
        <v>51</v>
      </c>
      <c r="N33" s="45">
        <f>'Sem 33'!N33+'Sem 34'!F33</f>
        <v>16385.7484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33'!J34+'Sem 34'!F34</f>
        <v>0</v>
      </c>
      <c r="L34" s="37"/>
      <c r="M34" s="27"/>
      <c r="N34" s="45">
        <f>'Sem 33'!N34+'Sem 34'!F34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1552.5360000000014</v>
      </c>
      <c r="H35" s="37"/>
      <c r="I35" s="26" t="s">
        <v>52</v>
      </c>
      <c r="J35" s="44">
        <f>'Sem 33'!J35+'Sem 34'!F35</f>
        <v>4526.3456000000006</v>
      </c>
      <c r="L35" s="37"/>
      <c r="M35" s="27" t="s">
        <v>52</v>
      </c>
      <c r="N35" s="45">
        <f>'Sem 33'!N35+'Sem 34'!F35</f>
        <v>9850.4816000000046</v>
      </c>
    </row>
    <row r="36" spans="1:15" x14ac:dyDescent="0.25">
      <c r="A36" t="s">
        <v>36</v>
      </c>
      <c r="B36" s="31">
        <v>1127.33</v>
      </c>
      <c r="D36" s="37"/>
      <c r="E36" s="25" t="s">
        <v>53</v>
      </c>
      <c r="F36" s="43">
        <f>(F32-F33)/F33</f>
        <v>0.42696496960849983</v>
      </c>
      <c r="H36" s="37"/>
      <c r="I36" s="26" t="s">
        <v>53</v>
      </c>
      <c r="J36" s="52">
        <f>(J32-J33)/J33</f>
        <v>0.47551419161762942</v>
      </c>
      <c r="L36" s="37"/>
      <c r="M36" s="27" t="s">
        <v>53</v>
      </c>
      <c r="N36" s="53">
        <f>(N32-N33)/N33</f>
        <v>0.60116153132193839</v>
      </c>
    </row>
    <row r="37" spans="1:15" x14ac:dyDescent="0.25">
      <c r="A37" t="s">
        <v>37</v>
      </c>
      <c r="B37" s="31">
        <v>231.6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26.35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>
        <f>N49</f>
        <v>21.080000000000002</v>
      </c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2502.5700000000002</v>
      </c>
      <c r="H48" s="37"/>
      <c r="I48" s="38" t="s">
        <v>61</v>
      </c>
      <c r="J48" s="38"/>
      <c r="K48" s="39">
        <f>F32</f>
        <v>5188.7500000000009</v>
      </c>
      <c r="L48" s="37"/>
      <c r="M48" s="124" t="s">
        <v>219</v>
      </c>
      <c r="N48" s="129">
        <f>SUM(N41:N47)</f>
        <v>26.35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21.080000000000002</v>
      </c>
      <c r="O49" s="125"/>
    </row>
    <row r="50" spans="1:15" ht="15.75" thickBot="1" x14ac:dyDescent="0.3">
      <c r="A50" t="s">
        <v>42</v>
      </c>
      <c r="B50" s="33">
        <f>SUM(B33:B48)</f>
        <v>3636.2139999999995</v>
      </c>
      <c r="D50" s="37"/>
      <c r="G50" s="40"/>
      <c r="H50" s="37"/>
      <c r="I50" t="s">
        <v>62</v>
      </c>
      <c r="J50">
        <v>4718.25</v>
      </c>
      <c r="K50" s="41">
        <f>J50/K48</f>
        <v>0.9093230546856178</v>
      </c>
      <c r="L50" s="37"/>
      <c r="M50" s="124" t="s">
        <v>221</v>
      </c>
      <c r="N50" s="129">
        <f>N48-N49</f>
        <v>5.27</v>
      </c>
      <c r="O50" s="125"/>
    </row>
    <row r="51" spans="1:15" ht="15.75" x14ac:dyDescent="0.25">
      <c r="B51" s="21"/>
      <c r="D51" s="37"/>
      <c r="F51" t="s">
        <v>57</v>
      </c>
      <c r="G51" s="39">
        <f>SUM(G48:G50)</f>
        <v>2502.5700000000002</v>
      </c>
      <c r="H51" s="37"/>
      <c r="I51" t="s">
        <v>63</v>
      </c>
      <c r="J51" s="22">
        <f>K48-J50</f>
        <v>470.50000000000091</v>
      </c>
      <c r="K51" s="41">
        <f>J51/K48</f>
        <v>9.0676945314382237E-2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1171.29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37.055999999999997</v>
      </c>
      <c r="D54" s="37"/>
      <c r="E54" t="s">
        <v>59</v>
      </c>
      <c r="G54" s="40"/>
      <c r="H54" s="37"/>
      <c r="L54" s="37"/>
    </row>
    <row r="55" spans="1:15" x14ac:dyDescent="0.25">
      <c r="D55" s="37"/>
      <c r="E55" t="s">
        <v>60</v>
      </c>
      <c r="G55" s="40">
        <v>277.69</v>
      </c>
      <c r="H55" s="37"/>
      <c r="L55" s="37"/>
    </row>
    <row r="56" spans="1:15" x14ac:dyDescent="0.25">
      <c r="A56" t="s">
        <v>44</v>
      </c>
      <c r="B56" s="21">
        <v>5987.58</v>
      </c>
      <c r="D56" s="37"/>
      <c r="H56" s="37"/>
      <c r="L56" s="37"/>
      <c r="M56" t="s">
        <v>236</v>
      </c>
      <c r="N56" s="65">
        <f>'Sem 26'!N57+'Sem 27'!F35</f>
        <v>48625.672800000008</v>
      </c>
    </row>
    <row r="57" spans="1:15" ht="15.75" thickBot="1" x14ac:dyDescent="0.3">
      <c r="A57" t="s">
        <v>45</v>
      </c>
      <c r="B57" s="21">
        <f>'Sem 33'!$B$56</f>
        <v>6266.61</v>
      </c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3951.55</v>
      </c>
      <c r="O58" t="s">
        <v>271</v>
      </c>
    </row>
    <row r="59" spans="1:15" x14ac:dyDescent="0.25">
      <c r="A59" t="s">
        <v>46</v>
      </c>
      <c r="B59" s="21">
        <f>B56-B57</f>
        <v>-279.02999999999975</v>
      </c>
      <c r="M59" t="s">
        <v>210</v>
      </c>
      <c r="N59" s="113">
        <f>N56-N57</f>
        <v>32557.822223076932</v>
      </c>
      <c r="O59" s="21">
        <f>N59/_xlfn.ISOWEEKNUM($L$3)</f>
        <v>957.58300656108622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theme="4" tint="0.59999389629810485"/>
    <pageSetUpPr fitToPage="1"/>
  </sheetPr>
  <dimension ref="A1:P59"/>
  <sheetViews>
    <sheetView topLeftCell="A25" workbookViewId="0">
      <selection activeCell="N56" sqref="N56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43339</v>
      </c>
      <c r="C3" s="10"/>
      <c r="D3" s="9">
        <v>43340</v>
      </c>
      <c r="E3" s="10"/>
      <c r="F3" s="9">
        <v>43341</v>
      </c>
      <c r="G3" s="10"/>
      <c r="H3" s="9">
        <v>43342</v>
      </c>
      <c r="I3" s="10"/>
      <c r="J3" s="9">
        <v>43343</v>
      </c>
      <c r="K3" s="10"/>
      <c r="L3" s="9">
        <v>43344</v>
      </c>
      <c r="M3" s="10"/>
      <c r="N3" s="9">
        <v>43345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312.22000000000003</v>
      </c>
      <c r="E4" s="12"/>
      <c r="F4" s="12"/>
      <c r="G4" s="12"/>
      <c r="H4" s="12">
        <f>507.25-306.5+75.07</f>
        <v>275.82</v>
      </c>
      <c r="I4" s="12">
        <v>628.52</v>
      </c>
      <c r="J4" s="12"/>
      <c r="K4" s="12"/>
      <c r="L4" s="12"/>
      <c r="M4" s="12"/>
      <c r="N4" s="12"/>
      <c r="O4" s="12">
        <f>B4+D4+F4+H4+J4+L4+N4</f>
        <v>588.04</v>
      </c>
      <c r="P4" s="12">
        <f>C4+E4+G4+I4+K4+M4</f>
        <v>628.52</v>
      </c>
    </row>
    <row r="5" spans="1:16" ht="18.75" x14ac:dyDescent="0.3">
      <c r="A5" s="18" t="s">
        <v>11</v>
      </c>
      <c r="B5" s="13"/>
      <c r="C5" s="14"/>
      <c r="D5" s="14">
        <v>76.22</v>
      </c>
      <c r="E5" s="14"/>
      <c r="F5" s="14"/>
      <c r="G5" s="14"/>
      <c r="H5" s="14">
        <v>33</v>
      </c>
      <c r="I5" s="14"/>
      <c r="J5" s="14"/>
      <c r="K5" s="14"/>
      <c r="L5" s="14"/>
      <c r="M5" s="14"/>
      <c r="N5" s="14"/>
      <c r="O5" s="12">
        <f t="shared" ref="O5:O23" si="0">B5+D5+F5+H5+J5+L5+N5</f>
        <v>109.22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459.66</v>
      </c>
      <c r="E6" s="14">
        <v>150</v>
      </c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459.66</v>
      </c>
      <c r="P6" s="12">
        <f t="shared" si="1"/>
        <v>150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228.4</v>
      </c>
      <c r="G7" s="14"/>
      <c r="H7" s="14">
        <f>633.15-228.4</f>
        <v>404.75</v>
      </c>
      <c r="I7" s="14"/>
      <c r="J7" s="14"/>
      <c r="K7" s="14"/>
      <c r="L7" s="14"/>
      <c r="M7" s="14"/>
      <c r="N7" s="14"/>
      <c r="O7" s="12">
        <f t="shared" si="0"/>
        <v>633.15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247</v>
      </c>
      <c r="I9" s="14">
        <v>622.05999999999995</v>
      </c>
      <c r="J9" s="14"/>
      <c r="K9" s="14"/>
      <c r="L9" s="14"/>
      <c r="M9" s="14"/>
      <c r="N9" s="14"/>
      <c r="O9" s="12">
        <f t="shared" si="0"/>
        <v>247</v>
      </c>
      <c r="P9" s="12">
        <f t="shared" si="1"/>
        <v>622.05999999999995</v>
      </c>
    </row>
    <row r="10" spans="1:16" ht="18.75" x14ac:dyDescent="0.3">
      <c r="A10" s="69" t="s">
        <v>16</v>
      </c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>
        <f t="shared" si="0"/>
        <v>0</v>
      </c>
      <c r="P10" s="72">
        <f t="shared" si="1"/>
        <v>0</v>
      </c>
    </row>
    <row r="11" spans="1:16" ht="18.75" x14ac:dyDescent="0.3">
      <c r="A11" s="69" t="s">
        <v>17</v>
      </c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2">
        <f t="shared" si="0"/>
        <v>0</v>
      </c>
      <c r="P11" s="7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6">
        <v>532</v>
      </c>
      <c r="K13" s="14"/>
      <c r="L13" s="14"/>
      <c r="M13" s="14"/>
      <c r="N13" s="14"/>
      <c r="O13" s="12">
        <f t="shared" si="0"/>
        <v>532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>
        <v>93.3</v>
      </c>
      <c r="I14" s="14">
        <v>98.9</v>
      </c>
      <c r="J14" s="14"/>
      <c r="K14" s="14"/>
      <c r="L14" s="14"/>
      <c r="M14" s="14"/>
      <c r="N14" s="14"/>
      <c r="O14" s="12">
        <f t="shared" si="0"/>
        <v>93.3</v>
      </c>
      <c r="P14" s="12">
        <f t="shared" si="1"/>
        <v>98.9</v>
      </c>
    </row>
    <row r="15" spans="1:16" ht="18.75" x14ac:dyDescent="0.3">
      <c r="A15" s="19" t="s">
        <v>21</v>
      </c>
      <c r="B15" s="13"/>
      <c r="C15" s="14"/>
      <c r="D15" s="14"/>
      <c r="E15" s="14"/>
      <c r="F15" s="14">
        <v>60.5</v>
      </c>
      <c r="G15" s="14"/>
      <c r="H15" s="14"/>
      <c r="I15" s="14"/>
      <c r="J15" s="14"/>
      <c r="K15" s="14"/>
      <c r="L15" s="14"/>
      <c r="M15" s="14"/>
      <c r="N15" s="14"/>
      <c r="O15" s="12">
        <f t="shared" si="0"/>
        <v>60.5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v>55.4</v>
      </c>
      <c r="E16" s="14">
        <v>360</v>
      </c>
      <c r="F16" s="14"/>
      <c r="G16" s="14"/>
      <c r="H16" s="14">
        <f>305.1-55.4</f>
        <v>249.70000000000002</v>
      </c>
      <c r="I16" s="14">
        <f>360+141.7</f>
        <v>501.7</v>
      </c>
      <c r="J16" s="14"/>
      <c r="K16" s="14"/>
      <c r="L16" s="14"/>
      <c r="M16" s="14"/>
      <c r="N16" s="14"/>
      <c r="O16" s="12">
        <f t="shared" si="0"/>
        <v>305.10000000000002</v>
      </c>
      <c r="P16" s="12">
        <f t="shared" si="1"/>
        <v>861.7</v>
      </c>
    </row>
    <row r="17" spans="1:16" ht="18.75" x14ac:dyDescent="0.3">
      <c r="A17" s="18" t="s">
        <v>23</v>
      </c>
      <c r="B17" s="13"/>
      <c r="C17" s="14"/>
      <c r="D17" s="14">
        <v>127.3</v>
      </c>
      <c r="E17" s="14"/>
      <c r="F17" s="14"/>
      <c r="G17" s="14"/>
      <c r="H17" s="14">
        <f>238.8-127.3</f>
        <v>111.50000000000001</v>
      </c>
      <c r="I17" s="14"/>
      <c r="J17" s="14"/>
      <c r="K17" s="14"/>
      <c r="L17" s="14"/>
      <c r="M17" s="14"/>
      <c r="N17" s="14"/>
      <c r="O17" s="12">
        <f t="shared" si="0"/>
        <v>238.8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>
        <v>193.5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193.5</v>
      </c>
      <c r="P18" s="12">
        <f t="shared" si="1"/>
        <v>0</v>
      </c>
    </row>
    <row r="19" spans="1:16" ht="18.75" x14ac:dyDescent="0.3">
      <c r="A19" s="20" t="s">
        <v>286</v>
      </c>
      <c r="B19" s="15"/>
      <c r="C19" s="14"/>
      <c r="D19" s="14">
        <v>98.9</v>
      </c>
      <c r="E19" s="14"/>
      <c r="F19" s="14"/>
      <c r="G19" s="14"/>
      <c r="H19" s="14">
        <v>69.47</v>
      </c>
      <c r="I19" s="14"/>
      <c r="J19" s="14"/>
      <c r="K19" s="14"/>
      <c r="L19" s="14"/>
      <c r="M19" s="14"/>
      <c r="N19" s="14"/>
      <c r="O19" s="12">
        <f t="shared" si="0"/>
        <v>168.37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65</v>
      </c>
      <c r="I23" s="17">
        <v>65</v>
      </c>
      <c r="J23" s="17">
        <v>250</v>
      </c>
      <c r="K23" s="17">
        <v>250</v>
      </c>
      <c r="L23" s="17"/>
      <c r="M23" s="17"/>
      <c r="N23" s="17"/>
      <c r="O23" s="49">
        <f t="shared" si="0"/>
        <v>315</v>
      </c>
      <c r="P23" s="49">
        <f t="shared" si="1"/>
        <v>315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1323.2000000000003</v>
      </c>
      <c r="E24" s="21">
        <f t="shared" si="2"/>
        <v>510</v>
      </c>
      <c r="F24" s="21">
        <f t="shared" si="2"/>
        <v>288.89999999999998</v>
      </c>
      <c r="G24" s="21">
        <f t="shared" si="2"/>
        <v>0</v>
      </c>
      <c r="H24" s="21">
        <f>SUM(H4:H23)</f>
        <v>1549.54</v>
      </c>
      <c r="I24" s="21">
        <f t="shared" si="2"/>
        <v>1916.18</v>
      </c>
      <c r="J24" s="21">
        <f t="shared" si="2"/>
        <v>782</v>
      </c>
      <c r="K24" s="21">
        <f t="shared" si="2"/>
        <v>250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3943.6400000000003</v>
      </c>
      <c r="P24" s="50">
        <f t="shared" si="2"/>
        <v>2676.1800000000003</v>
      </c>
    </row>
    <row r="25" spans="1:16" ht="15.75" thickBot="1" x14ac:dyDescent="0.3">
      <c r="N25" t="s">
        <v>55</v>
      </c>
      <c r="O25" s="50">
        <f>SUM(B24+D24+F24+H24+J24+L24+N24)</f>
        <v>3943.6400000000003</v>
      </c>
      <c r="P25" s="50">
        <f>SUM(C24+E24+G24+I24+K24+M24)</f>
        <v>2676.1800000000003</v>
      </c>
    </row>
    <row r="26" spans="1:16" ht="15.75" thickBot="1" x14ac:dyDescent="0.3">
      <c r="A26" t="s">
        <v>27</v>
      </c>
      <c r="B26" s="22">
        <f>O24</f>
        <v>3943.6400000000003</v>
      </c>
      <c r="D26" s="5" t="s">
        <v>30</v>
      </c>
      <c r="E26" s="47">
        <f>B50*1.5</f>
        <v>3519.8256000000001</v>
      </c>
    </row>
    <row r="27" spans="1:16" x14ac:dyDescent="0.25">
      <c r="A27" t="s">
        <v>28</v>
      </c>
      <c r="B27" s="22">
        <f>P24</f>
        <v>2676.1800000000003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3943.6400000000003</v>
      </c>
      <c r="H32" s="37"/>
      <c r="I32" s="26" t="s">
        <v>50</v>
      </c>
      <c r="J32" s="44">
        <f>'Sem 34'!J32+'Sem 35'!F32</f>
        <v>17988.829999999998</v>
      </c>
      <c r="L32" s="37"/>
      <c r="M32" s="27" t="s">
        <v>50</v>
      </c>
      <c r="N32" s="45">
        <f>'Sem 34'!N32+'Sem 35'!F32</f>
        <v>30179.870000000003</v>
      </c>
    </row>
    <row r="33" spans="1:15" x14ac:dyDescent="0.25">
      <c r="A33" t="s">
        <v>33</v>
      </c>
      <c r="B33" s="28">
        <f>IF(C33="","",(C33*1.16)+3.75+10)</f>
        <v>1258.6504</v>
      </c>
      <c r="C33" s="34">
        <v>1073.19</v>
      </c>
      <c r="D33" s="37"/>
      <c r="E33" s="25" t="s">
        <v>51</v>
      </c>
      <c r="F33" s="42">
        <f>B50</f>
        <v>2346.5504000000001</v>
      </c>
      <c r="H33" s="37"/>
      <c r="I33" s="26" t="s">
        <v>51</v>
      </c>
      <c r="J33" s="44">
        <f>'Sem 34'!J33+'Sem 35'!F33</f>
        <v>11865.3948</v>
      </c>
      <c r="L33" s="37"/>
      <c r="M33" s="27" t="s">
        <v>51</v>
      </c>
      <c r="N33" s="45">
        <f>'Sem 34'!N33+'Sem 35'!F33</f>
        <v>18732.2988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1597.0896000000002</v>
      </c>
      <c r="H35" s="37"/>
      <c r="I35" s="26" t="s">
        <v>52</v>
      </c>
      <c r="J35" s="44">
        <f>'Sem 34'!J35+'Sem 35'!F35</f>
        <v>6123.4352000000008</v>
      </c>
      <c r="L35" s="37"/>
      <c r="M35" s="27" t="s">
        <v>52</v>
      </c>
      <c r="N35" s="45">
        <f>'Sem 34'!N35+'Sem 35'!F35</f>
        <v>11447.571200000006</v>
      </c>
    </row>
    <row r="36" spans="1:15" x14ac:dyDescent="0.25">
      <c r="A36" t="s">
        <v>36</v>
      </c>
      <c r="B36" s="31">
        <v>756.68</v>
      </c>
      <c r="D36" s="37"/>
      <c r="E36" s="25" t="s">
        <v>53</v>
      </c>
      <c r="F36" s="43">
        <f>(F32-F33)/F33</f>
        <v>0.68061167576029913</v>
      </c>
      <c r="H36" s="37"/>
      <c r="I36" s="26" t="s">
        <v>53</v>
      </c>
      <c r="J36" s="52">
        <f>(J32-J33)/J33</f>
        <v>0.51607513304150643</v>
      </c>
      <c r="L36" s="37"/>
      <c r="M36" s="27" t="s">
        <v>53</v>
      </c>
      <c r="N36" s="53">
        <f>(N32-N33)/N33</f>
        <v>0.61111406145197733</v>
      </c>
    </row>
    <row r="37" spans="1:15" x14ac:dyDescent="0.25">
      <c r="A37" t="s">
        <v>37</v>
      </c>
      <c r="B37" s="31">
        <v>243.44</v>
      </c>
      <c r="D37" s="37"/>
      <c r="H37" s="37"/>
      <c r="L37" s="37"/>
    </row>
    <row r="38" spans="1:15" ht="15.75" thickBot="1" x14ac:dyDescent="0.3">
      <c r="A38" t="s">
        <v>38</v>
      </c>
      <c r="B38" s="32">
        <v>22.5</v>
      </c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39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>
        <v>4.72</v>
      </c>
      <c r="O42" s="125"/>
    </row>
    <row r="43" spans="1:15" x14ac:dyDescent="0.25">
      <c r="A43" t="s">
        <v>40</v>
      </c>
      <c r="B43" s="21">
        <f>N49</f>
        <v>65.280000000000015</v>
      </c>
      <c r="D43" s="37"/>
      <c r="H43" s="37"/>
      <c r="L43" s="37"/>
      <c r="M43" s="124"/>
      <c r="N43" s="129">
        <v>24.26</v>
      </c>
      <c r="O43" s="125"/>
    </row>
    <row r="44" spans="1:15" x14ac:dyDescent="0.25">
      <c r="A44" s="6"/>
      <c r="B44" s="21"/>
      <c r="D44" s="37"/>
      <c r="H44" s="37"/>
      <c r="L44" s="37"/>
      <c r="M44" s="124"/>
      <c r="N44" s="129">
        <v>13.62</v>
      </c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1414.12</v>
      </c>
      <c r="H48" s="37"/>
      <c r="I48" s="38" t="s">
        <v>61</v>
      </c>
      <c r="J48" s="38"/>
      <c r="K48" s="39">
        <f>F32</f>
        <v>3943.6400000000003</v>
      </c>
      <c r="L48" s="37"/>
      <c r="M48" s="124" t="s">
        <v>219</v>
      </c>
      <c r="N48" s="129">
        <f>SUM(N41:N47)</f>
        <v>81.600000000000009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65.280000000000015</v>
      </c>
      <c r="O49" s="125"/>
    </row>
    <row r="50" spans="1:15" ht="15.75" thickBot="1" x14ac:dyDescent="0.3">
      <c r="A50" t="s">
        <v>42</v>
      </c>
      <c r="B50" s="33">
        <f>SUM(B33:B48)</f>
        <v>2346.5504000000001</v>
      </c>
      <c r="D50" s="37"/>
      <c r="G50" s="40"/>
      <c r="H50" s="37"/>
      <c r="I50" t="s">
        <v>62</v>
      </c>
      <c r="J50">
        <v>2897.42</v>
      </c>
      <c r="K50" s="41">
        <f>J50/K48</f>
        <v>0.73470702193912218</v>
      </c>
      <c r="L50" s="37"/>
      <c r="M50" s="124" t="s">
        <v>221</v>
      </c>
      <c r="N50" s="129">
        <f>N48-N49</f>
        <v>16.319999999999993</v>
      </c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1046.2200000000003</v>
      </c>
      <c r="K51" s="41">
        <f>J51/K48</f>
        <v>0.26529297806087782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705.28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42.550400000000003</v>
      </c>
      <c r="D54" s="37"/>
      <c r="E54" t="s">
        <v>59</v>
      </c>
      <c r="G54" s="40">
        <v>36.04</v>
      </c>
      <c r="H54" s="37"/>
      <c r="L54" s="37"/>
    </row>
    <row r="55" spans="1:15" ht="15.75" thickBot="1" x14ac:dyDescent="0.3">
      <c r="D55" s="37"/>
      <c r="E55" t="s">
        <v>60</v>
      </c>
      <c r="G55" s="40">
        <v>365.55</v>
      </c>
      <c r="H55" s="37"/>
      <c r="L55" s="37"/>
    </row>
    <row r="56" spans="1:15" ht="15.75" thickBot="1" x14ac:dyDescent="0.3">
      <c r="A56" t="s">
        <v>44</v>
      </c>
      <c r="B56" s="33">
        <v>6780.91</v>
      </c>
      <c r="D56" s="37"/>
      <c r="H56" s="37"/>
      <c r="L56" s="37"/>
      <c r="M56" t="s">
        <v>236</v>
      </c>
      <c r="N56" s="65">
        <f>'Sem 34'!N56+'Sem 35'!F35</f>
        <v>50222.762400000007</v>
      </c>
    </row>
    <row r="57" spans="1:15" ht="15.75" thickBot="1" x14ac:dyDescent="0.3">
      <c r="A57" t="s">
        <v>45</v>
      </c>
      <c r="B57" s="21">
        <f>'Sem 34'!B56</f>
        <v>5987.58</v>
      </c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2520.9899999999998</v>
      </c>
      <c r="O58" t="s">
        <v>271</v>
      </c>
    </row>
    <row r="59" spans="1:15" x14ac:dyDescent="0.25">
      <c r="A59" t="s">
        <v>46</v>
      </c>
      <c r="B59" s="21">
        <f>B56-B57</f>
        <v>793.32999999999993</v>
      </c>
      <c r="C59" t="s">
        <v>207</v>
      </c>
      <c r="M59" t="s">
        <v>210</v>
      </c>
      <c r="N59" s="113">
        <f>N56-N57</f>
        <v>34154.911823076931</v>
      </c>
      <c r="O59" s="21">
        <f>N59/_xlfn.ISOWEEKNUM($L$3)</f>
        <v>975.85462351648368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theme="4" tint="0.59999389629810485"/>
    <pageSetUpPr fitToPage="1"/>
  </sheetPr>
  <dimension ref="A1:P59"/>
  <sheetViews>
    <sheetView topLeftCell="B25" workbookViewId="0">
      <selection activeCell="N56" sqref="N56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43346</v>
      </c>
      <c r="C3" s="10"/>
      <c r="D3" s="9">
        <v>43347</v>
      </c>
      <c r="E3" s="10"/>
      <c r="F3" s="9">
        <v>43348</v>
      </c>
      <c r="G3" s="10"/>
      <c r="H3" s="9">
        <v>43349</v>
      </c>
      <c r="I3" s="10"/>
      <c r="J3" s="9">
        <v>43350</v>
      </c>
      <c r="K3" s="10"/>
      <c r="L3" s="9">
        <v>43351</v>
      </c>
      <c r="M3" s="10"/>
      <c r="N3" s="9">
        <v>43352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K15" s="14"/>
      <c r="L15" s="14"/>
      <c r="M15" s="14"/>
      <c r="N15" s="14"/>
      <c r="O15" s="12">
        <f>B15+D15+F15+H15+I15+L15+N15</f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50</v>
      </c>
      <c r="I23" s="17">
        <v>50</v>
      </c>
      <c r="J23" s="17"/>
      <c r="K23" s="17"/>
      <c r="L23" s="17"/>
      <c r="M23" s="17"/>
      <c r="N23" s="17"/>
      <c r="O23" s="49">
        <f t="shared" si="0"/>
        <v>50</v>
      </c>
      <c r="P23" s="49">
        <f t="shared" si="1"/>
        <v>50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50</v>
      </c>
      <c r="I24" s="21">
        <f t="shared" si="2"/>
        <v>50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50</v>
      </c>
      <c r="P24" s="50">
        <f t="shared" si="2"/>
        <v>50</v>
      </c>
    </row>
    <row r="25" spans="1:16" ht="15.75" thickBot="1" x14ac:dyDescent="0.3">
      <c r="N25" t="s">
        <v>55</v>
      </c>
      <c r="O25" s="50">
        <f>SUM(B24+D24+F24+H24+J24+L24+N24)</f>
        <v>50</v>
      </c>
      <c r="P25" s="50">
        <f>SUM(C24+E24+G24+I24+K24+M24)</f>
        <v>50</v>
      </c>
    </row>
    <row r="26" spans="1:16" ht="15.75" thickBot="1" x14ac:dyDescent="0.3">
      <c r="A26" t="s">
        <v>27</v>
      </c>
      <c r="B26" s="22">
        <f>O24</f>
        <v>50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50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50</v>
      </c>
      <c r="H32" s="37"/>
      <c r="I32" s="26" t="s">
        <v>50</v>
      </c>
      <c r="J32" s="44">
        <f>F32</f>
        <v>50</v>
      </c>
      <c r="L32" s="37"/>
      <c r="M32" s="27" t="s">
        <v>50</v>
      </c>
      <c r="N32" s="45">
        <f>'Sem 35'!N32+'Sem 36'!F32</f>
        <v>30229.870000000003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v>1</v>
      </c>
      <c r="H33" s="37"/>
      <c r="I33" s="26" t="s">
        <v>51</v>
      </c>
      <c r="J33" s="44">
        <f>F33</f>
        <v>1</v>
      </c>
      <c r="L33" s="37"/>
      <c r="M33" s="27" t="s">
        <v>51</v>
      </c>
      <c r="N33" s="45">
        <f>'Sem 35'!N33+'Sem 36'!F33</f>
        <v>18733.2988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F34</f>
        <v>0</v>
      </c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49</v>
      </c>
      <c r="H35" s="37"/>
      <c r="I35" s="26" t="s">
        <v>52</v>
      </c>
      <c r="J35" s="44">
        <f>F35</f>
        <v>49</v>
      </c>
      <c r="L35" s="37"/>
      <c r="M35" s="27" t="s">
        <v>52</v>
      </c>
      <c r="N35" s="45">
        <f>'Sem 35'!N35+'Sem 36'!F35</f>
        <v>11496.571200000006</v>
      </c>
    </row>
    <row r="36" spans="1:15" x14ac:dyDescent="0.25">
      <c r="A36" t="s">
        <v>36</v>
      </c>
      <c r="B36" s="31"/>
      <c r="D36" s="37"/>
      <c r="E36" s="25" t="s">
        <v>53</v>
      </c>
      <c r="F36" s="43">
        <f>(F32-F33)/F33</f>
        <v>49</v>
      </c>
      <c r="H36" s="37"/>
      <c r="I36" s="26" t="s">
        <v>53</v>
      </c>
      <c r="J36" s="52">
        <f>(J32-J33)/J33</f>
        <v>49</v>
      </c>
      <c r="L36" s="37"/>
      <c r="M36" s="27" t="s">
        <v>53</v>
      </c>
      <c r="N36" s="53">
        <f>(N32-N33)/N33</f>
        <v>0.61369710282953482</v>
      </c>
    </row>
    <row r="37" spans="1:15" x14ac:dyDescent="0.25">
      <c r="A37" t="s">
        <v>37</v>
      </c>
      <c r="B37" s="31"/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/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50</v>
      </c>
      <c r="L48" s="37"/>
      <c r="M48" s="124" t="s">
        <v>219</v>
      </c>
      <c r="N48" s="129"/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/>
      <c r="O49" s="125"/>
    </row>
    <row r="50" spans="1:15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>
        <f>J50/K48</f>
        <v>0</v>
      </c>
      <c r="L50" s="37"/>
      <c r="M50" s="124" t="s">
        <v>221</v>
      </c>
      <c r="N50" s="129"/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50</v>
      </c>
      <c r="K51" s="41">
        <f>J51/K48</f>
        <v>1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/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0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/>
      <c r="H55" s="37"/>
      <c r="L55" s="37"/>
    </row>
    <row r="56" spans="1:15" ht="15.75" thickBot="1" x14ac:dyDescent="0.3">
      <c r="A56" t="s">
        <v>44</v>
      </c>
      <c r="B56" s="33"/>
      <c r="D56" s="37"/>
      <c r="H56" s="37"/>
      <c r="L56" s="37"/>
      <c r="M56" t="s">
        <v>236</v>
      </c>
      <c r="N56" s="65">
        <f>'Sem 35'!N56+'Sem 36'!F35</f>
        <v>50271.762400000007</v>
      </c>
    </row>
    <row r="57" spans="1:15" ht="15.75" thickBot="1" x14ac:dyDescent="0.3">
      <c r="A57" t="s">
        <v>45</v>
      </c>
      <c r="B57" s="21"/>
      <c r="M57" t="s">
        <v>209</v>
      </c>
      <c r="N57" s="113">
        <f>'Nouv FRAIS'!G46*_xlfn.ISOWEEKNUM('Sem 27'!L3)</f>
        <v>16067.850576923076</v>
      </c>
    </row>
    <row r="58" spans="1:15" ht="16.5" thickBot="1" x14ac:dyDescent="0.3">
      <c r="B58" s="21"/>
      <c r="E58" t="s">
        <v>65</v>
      </c>
      <c r="G58" s="48">
        <f>SUM(G48:G50)+SUM(G53:G55)</f>
        <v>0</v>
      </c>
      <c r="O58" t="s">
        <v>271</v>
      </c>
    </row>
    <row r="59" spans="1:15" x14ac:dyDescent="0.25">
      <c r="A59" t="s">
        <v>46</v>
      </c>
      <c r="B59" s="21"/>
      <c r="M59" t="s">
        <v>210</v>
      </c>
      <c r="N59" s="113">
        <f>N56-N57</f>
        <v>34203.911823076931</v>
      </c>
      <c r="O59" s="21">
        <f>N59/_xlfn.ISOWEEKNUM($L$3)</f>
        <v>950.10866175213698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theme="4" tint="0.59999389629810485"/>
    <pageSetUpPr fitToPage="1"/>
  </sheetPr>
  <dimension ref="A1:P59"/>
  <sheetViews>
    <sheetView workbookViewId="0">
      <selection activeCell="N56" sqref="N56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43353</v>
      </c>
      <c r="C3" s="9"/>
      <c r="D3" s="9">
        <v>43354</v>
      </c>
      <c r="E3" s="9"/>
      <c r="F3" s="9">
        <v>43355</v>
      </c>
      <c r="G3" s="9"/>
      <c r="H3" s="9">
        <v>43356</v>
      </c>
      <c r="I3" s="9"/>
      <c r="J3" s="9">
        <v>43357</v>
      </c>
      <c r="K3" s="9"/>
      <c r="L3" s="9">
        <v>43358</v>
      </c>
      <c r="M3" s="9"/>
      <c r="N3" s="9">
        <v>43359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'Sem 36'!J32+'Sem 37'!F32</f>
        <v>50</v>
      </c>
      <c r="L32" s="37"/>
      <c r="M32" s="27" t="s">
        <v>50</v>
      </c>
      <c r="N32" s="45">
        <f>'Sem 36'!N32+'Sem 37'!F32</f>
        <v>30229.870000000003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'Sem 36'!J33+'Sem 37'!F33</f>
        <v>1</v>
      </c>
      <c r="L33" s="37"/>
      <c r="M33" s="27" t="s">
        <v>51</v>
      </c>
      <c r="N33" s="45">
        <f>'Sem 36'!N33+'Sem 37'!F33</f>
        <v>18733.2988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'Sem 36'!J35+'Sem 37'!F35</f>
        <v>49</v>
      </c>
      <c r="L35" s="37"/>
      <c r="M35" s="27" t="s">
        <v>52</v>
      </c>
      <c r="N35" s="45">
        <f>'Sem 36'!N35+'Sem 37'!F35</f>
        <v>11496.571200000006</v>
      </c>
    </row>
    <row r="36" spans="1:15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>
        <f>(J32-J33)/J33</f>
        <v>49</v>
      </c>
      <c r="L36" s="37"/>
      <c r="M36" s="27" t="s">
        <v>53</v>
      </c>
      <c r="N36" s="53">
        <f>(N32-N33)/N33</f>
        <v>0.61369710282953482</v>
      </c>
    </row>
    <row r="37" spans="1:15" x14ac:dyDescent="0.25">
      <c r="A37" t="s">
        <v>37</v>
      </c>
      <c r="B37" s="31"/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/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/>
      <c r="O42" s="125"/>
    </row>
    <row r="43" spans="1:15" x14ac:dyDescent="0.25">
      <c r="A43" t="s">
        <v>40</v>
      </c>
      <c r="B43" s="21"/>
      <c r="D43" s="37"/>
      <c r="H43" s="37"/>
      <c r="L43" s="37"/>
      <c r="M43" s="124"/>
      <c r="N43" s="129"/>
      <c r="O43" s="125"/>
    </row>
    <row r="44" spans="1:15" x14ac:dyDescent="0.25">
      <c r="A44" s="6"/>
      <c r="B44" s="21"/>
      <c r="D44" s="37"/>
      <c r="H44" s="37"/>
      <c r="L44" s="37"/>
      <c r="M44" s="124"/>
      <c r="N44" s="129"/>
      <c r="O44" s="125"/>
    </row>
    <row r="45" spans="1:15" x14ac:dyDescent="0.25">
      <c r="A45" s="6"/>
      <c r="B45" s="21"/>
      <c r="D45" s="37"/>
      <c r="H45" s="37"/>
      <c r="L45" s="37"/>
      <c r="M45" s="124"/>
      <c r="N45" s="129"/>
      <c r="O45" s="125"/>
    </row>
    <row r="46" spans="1:15" x14ac:dyDescent="0.25">
      <c r="A46" s="6"/>
      <c r="B46" s="21"/>
      <c r="D46" s="37"/>
      <c r="H46" s="37"/>
      <c r="L46" s="37"/>
      <c r="M46" s="124"/>
      <c r="N46" s="129"/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  <c r="M48" s="124" t="s">
        <v>219</v>
      </c>
      <c r="N48" s="129"/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/>
      <c r="O49" s="125"/>
    </row>
    <row r="50" spans="1:15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  <c r="M50" s="124" t="s">
        <v>221</v>
      </c>
      <c r="N50" s="129"/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/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0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/>
      <c r="H55" s="37"/>
      <c r="L55" s="37"/>
    </row>
    <row r="56" spans="1:15" ht="15.75" thickBot="1" x14ac:dyDescent="0.3">
      <c r="A56" t="s">
        <v>44</v>
      </c>
      <c r="B56" s="33"/>
      <c r="D56" s="37"/>
      <c r="H56" s="37"/>
      <c r="L56" s="37"/>
      <c r="M56" t="s">
        <v>236</v>
      </c>
      <c r="N56" s="65">
        <f>'Sem 36'!N56+'Sem 37'!F35</f>
        <v>50271.762400000007</v>
      </c>
    </row>
    <row r="57" spans="1:15" ht="15.75" thickBot="1" x14ac:dyDescent="0.3">
      <c r="A57" t="s">
        <v>45</v>
      </c>
      <c r="B57" s="21"/>
      <c r="M57" t="s">
        <v>209</v>
      </c>
      <c r="N57" s="113">
        <f>'Nouv FRAIS'!G46*_xlfn.ISOWEEKNUM(L3)</f>
        <v>22018.906346153846</v>
      </c>
    </row>
    <row r="58" spans="1:15" ht="16.5" thickBot="1" x14ac:dyDescent="0.3">
      <c r="B58" s="21"/>
      <c r="E58" t="s">
        <v>65</v>
      </c>
      <c r="G58" s="48">
        <f>SUM(G48:G50)+SUM(G53:G55)</f>
        <v>0</v>
      </c>
      <c r="O58" t="s">
        <v>271</v>
      </c>
    </row>
    <row r="59" spans="1:15" x14ac:dyDescent="0.25">
      <c r="A59" t="s">
        <v>46</v>
      </c>
      <c r="B59" s="21"/>
      <c r="M59" t="s">
        <v>210</v>
      </c>
      <c r="N59" s="113">
        <f>N56-N57</f>
        <v>28252.856053846161</v>
      </c>
      <c r="O59" s="21">
        <f>N59/_xlfn.ISOWEEKNUM($L$3)</f>
        <v>763.59070415800431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theme="4" tint="0.59999389629810485"/>
    <pageSetUpPr fitToPage="1"/>
  </sheetPr>
  <dimension ref="A1:P59"/>
  <sheetViews>
    <sheetView workbookViewId="0">
      <selection activeCell="N56" sqref="N56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43360</v>
      </c>
      <c r="C3" s="10"/>
      <c r="D3" s="9">
        <v>43361</v>
      </c>
      <c r="E3" s="10"/>
      <c r="F3" s="9">
        <v>43362</v>
      </c>
      <c r="G3" s="10"/>
      <c r="H3" s="9">
        <v>43363</v>
      </c>
      <c r="I3" s="10"/>
      <c r="J3" s="9">
        <v>43364</v>
      </c>
      <c r="K3" s="10"/>
      <c r="L3" s="9">
        <v>43365</v>
      </c>
      <c r="M3" s="10"/>
      <c r="N3" s="9">
        <v>43366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f>41.4+52.7</f>
        <v>94.1</v>
      </c>
      <c r="E4" s="12"/>
      <c r="F4" s="12"/>
      <c r="G4" s="12"/>
      <c r="H4" s="12">
        <f>291.15-41.4</f>
        <v>249.74999999999997</v>
      </c>
      <c r="I4" s="12">
        <v>372.39</v>
      </c>
      <c r="J4" s="12"/>
      <c r="K4" s="12"/>
      <c r="L4" s="12"/>
      <c r="M4" s="12"/>
      <c r="N4" s="12"/>
      <c r="O4" s="12">
        <f>B4+D4+F4+H4+J4+L4+N4</f>
        <v>343.84999999999997</v>
      </c>
      <c r="P4" s="12">
        <f>C4+E4+G4+I4+K4+M4</f>
        <v>372.39</v>
      </c>
    </row>
    <row r="5" spans="1:16" ht="18.75" x14ac:dyDescent="0.3">
      <c r="A5" s="18" t="s">
        <v>11</v>
      </c>
      <c r="B5" s="13"/>
      <c r="C5" s="14"/>
      <c r="D5" s="14">
        <v>73.75</v>
      </c>
      <c r="E5" s="14"/>
      <c r="F5" s="14"/>
      <c r="G5" s="14"/>
      <c r="H5" s="14">
        <v>33</v>
      </c>
      <c r="I5" s="14"/>
      <c r="J5" s="14"/>
      <c r="K5" s="14"/>
      <c r="L5" s="14"/>
      <c r="M5" s="14"/>
      <c r="N5" s="14"/>
      <c r="O5" s="12">
        <f t="shared" ref="O5:O23" si="0">B5+D5+F5+H5+J5+L5+N5</f>
        <v>106.75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447.25</v>
      </c>
      <c r="E6" s="14">
        <v>300</v>
      </c>
      <c r="F6" s="14"/>
      <c r="G6" s="14"/>
      <c r="H6" s="14">
        <v>195.25</v>
      </c>
      <c r="I6" s="14"/>
      <c r="J6" s="14"/>
      <c r="K6" s="14"/>
      <c r="L6" s="14"/>
      <c r="M6" s="14"/>
      <c r="N6" s="14"/>
      <c r="O6" s="12">
        <f t="shared" si="0"/>
        <v>642.5</v>
      </c>
      <c r="P6" s="12">
        <f t="shared" si="1"/>
        <v>300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410.15</v>
      </c>
      <c r="G7" s="14"/>
      <c r="H7" s="14"/>
      <c r="I7" s="14"/>
      <c r="J7" s="14">
        <f>573.65-410.15</f>
        <v>163.5</v>
      </c>
      <c r="K7" s="14"/>
      <c r="L7" s="14"/>
      <c r="M7" s="14"/>
      <c r="N7" s="14"/>
      <c r="O7" s="12">
        <f t="shared" si="0"/>
        <v>573.65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186.05</v>
      </c>
      <c r="G9" s="14"/>
      <c r="H9" s="14">
        <f>356.05-186.05</f>
        <v>170</v>
      </c>
      <c r="I9" s="14">
        <v>377.41</v>
      </c>
      <c r="J9" s="14"/>
      <c r="K9" s="14"/>
      <c r="L9" s="14"/>
      <c r="M9" s="14"/>
      <c r="N9" s="14"/>
      <c r="O9" s="12">
        <f t="shared" si="0"/>
        <v>356.05</v>
      </c>
      <c r="P9" s="12">
        <f t="shared" si="1"/>
        <v>377.41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432.15</v>
      </c>
      <c r="K13" s="14"/>
      <c r="L13" s="14"/>
      <c r="M13" s="14"/>
      <c r="N13" s="14"/>
      <c r="O13" s="12">
        <f t="shared" si="0"/>
        <v>432.15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f>103.45+4.24</f>
        <v>107.69</v>
      </c>
      <c r="K14" s="14">
        <v>114.79</v>
      </c>
      <c r="L14" s="14"/>
      <c r="M14" s="14"/>
      <c r="N14" s="14"/>
      <c r="O14" s="12">
        <f t="shared" si="0"/>
        <v>107.69</v>
      </c>
      <c r="P14" s="12">
        <f t="shared" si="1"/>
        <v>114.79</v>
      </c>
    </row>
    <row r="15" spans="1:16" ht="18.75" x14ac:dyDescent="0.3">
      <c r="A15" s="19" t="s">
        <v>21</v>
      </c>
      <c r="B15" s="13"/>
      <c r="C15" s="14"/>
      <c r="D15" s="14">
        <f>149.4+6.5</f>
        <v>155.9</v>
      </c>
      <c r="E15" s="14"/>
      <c r="F15" s="14"/>
      <c r="G15" s="14"/>
      <c r="H15" s="14">
        <v>177.46</v>
      </c>
      <c r="I15" s="14">
        <v>200</v>
      </c>
      <c r="J15" s="14"/>
      <c r="K15" s="14"/>
      <c r="L15" s="14"/>
      <c r="M15" s="14"/>
      <c r="N15" s="14"/>
      <c r="O15" s="12">
        <f t="shared" si="0"/>
        <v>333.36</v>
      </c>
      <c r="P15" s="12">
        <f t="shared" si="1"/>
        <v>200</v>
      </c>
    </row>
    <row r="16" spans="1:16" ht="18.75" x14ac:dyDescent="0.3">
      <c r="A16" s="19" t="s">
        <v>22</v>
      </c>
      <c r="B16" s="13"/>
      <c r="C16" s="14"/>
      <c r="D16" s="14">
        <v>90.75</v>
      </c>
      <c r="E16" s="14">
        <v>323.41000000000003</v>
      </c>
      <c r="F16" s="14"/>
      <c r="G16" s="14"/>
      <c r="H16" s="14">
        <v>82.25</v>
      </c>
      <c r="I16" s="14"/>
      <c r="J16" s="14"/>
      <c r="K16" s="14"/>
      <c r="L16" s="14"/>
      <c r="M16" s="14"/>
      <c r="N16" s="14"/>
      <c r="O16" s="12">
        <f t="shared" si="0"/>
        <v>173</v>
      </c>
      <c r="P16" s="12">
        <f t="shared" si="1"/>
        <v>323.41000000000003</v>
      </c>
    </row>
    <row r="17" spans="1:16" ht="18.75" x14ac:dyDescent="0.3">
      <c r="A17" s="18" t="s">
        <v>23</v>
      </c>
      <c r="B17" s="13"/>
      <c r="C17" s="14"/>
      <c r="D17" s="14">
        <v>48</v>
      </c>
      <c r="E17" s="14"/>
      <c r="F17" s="14"/>
      <c r="G17" s="14"/>
      <c r="H17" s="14">
        <v>93.65</v>
      </c>
      <c r="I17" s="14"/>
      <c r="J17" s="14"/>
      <c r="K17" s="14"/>
      <c r="L17" s="14"/>
      <c r="M17" s="14"/>
      <c r="N17" s="14"/>
      <c r="O17" s="12">
        <f t="shared" si="0"/>
        <v>141.65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65.75</v>
      </c>
      <c r="G18" s="14"/>
      <c r="H18" s="14"/>
      <c r="I18" s="14"/>
      <c r="J18" s="14">
        <f>197.1-65.75+24.26</f>
        <v>155.60999999999999</v>
      </c>
      <c r="K18" s="14"/>
      <c r="L18" s="14"/>
      <c r="M18" s="14"/>
      <c r="N18" s="14"/>
      <c r="O18" s="12">
        <f t="shared" si="0"/>
        <v>221.35999999999999</v>
      </c>
      <c r="P18" s="12">
        <f t="shared" si="1"/>
        <v>0</v>
      </c>
    </row>
    <row r="19" spans="1:16" ht="18.75" x14ac:dyDescent="0.3">
      <c r="A19" s="20" t="s">
        <v>286</v>
      </c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 t="s">
        <v>287</v>
      </c>
      <c r="B20" s="15"/>
      <c r="C20" s="14"/>
      <c r="D20" s="14"/>
      <c r="E20" s="14"/>
      <c r="F20" s="14"/>
      <c r="G20" s="14"/>
      <c r="H20" s="14"/>
      <c r="I20" s="14"/>
      <c r="J20" s="14">
        <f>19.5+36</f>
        <v>55.5</v>
      </c>
      <c r="K20" s="14"/>
      <c r="L20" s="14"/>
      <c r="M20" s="14"/>
      <c r="N20" s="14"/>
      <c r="O20" s="12">
        <f t="shared" si="0"/>
        <v>55.5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99</v>
      </c>
      <c r="G23" s="17">
        <v>99</v>
      </c>
      <c r="H23" s="17">
        <v>65</v>
      </c>
      <c r="I23" s="17">
        <v>65</v>
      </c>
      <c r="J23" s="17">
        <v>59.6</v>
      </c>
      <c r="K23" s="17">
        <v>59.6</v>
      </c>
      <c r="L23" s="17"/>
      <c r="M23" s="17"/>
      <c r="N23" s="17"/>
      <c r="O23" s="49">
        <f t="shared" si="0"/>
        <v>223.6</v>
      </c>
      <c r="P23" s="49">
        <f t="shared" si="1"/>
        <v>223.6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909.75</v>
      </c>
      <c r="E24" s="21">
        <f t="shared" si="2"/>
        <v>623.41000000000008</v>
      </c>
      <c r="F24" s="21">
        <f t="shared" si="2"/>
        <v>760.95</v>
      </c>
      <c r="G24" s="21">
        <f t="shared" si="2"/>
        <v>99</v>
      </c>
      <c r="H24" s="21">
        <f t="shared" si="2"/>
        <v>1066.3600000000001</v>
      </c>
      <c r="I24" s="21">
        <f t="shared" si="2"/>
        <v>1014.8</v>
      </c>
      <c r="J24" s="21">
        <f t="shared" si="2"/>
        <v>974.05</v>
      </c>
      <c r="K24" s="21">
        <f t="shared" si="2"/>
        <v>174.39000000000001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3711.11</v>
      </c>
      <c r="P24" s="50">
        <f t="shared" si="2"/>
        <v>1911.6</v>
      </c>
    </row>
    <row r="25" spans="1:16" ht="15.75" thickBot="1" x14ac:dyDescent="0.3">
      <c r="N25" t="s">
        <v>55</v>
      </c>
      <c r="O25" s="50">
        <f>SUM(B24+D24+F24+H24+J24+L24+N24)</f>
        <v>3711.1100000000006</v>
      </c>
      <c r="P25" s="50">
        <f>SUM(C24+E24+G24+I24+K24+M24)</f>
        <v>1911.6000000000001</v>
      </c>
    </row>
    <row r="26" spans="1:16" ht="15.75" thickBot="1" x14ac:dyDescent="0.3">
      <c r="A26" t="s">
        <v>27</v>
      </c>
      <c r="B26" s="22">
        <f>O24</f>
        <v>3711.11</v>
      </c>
      <c r="D26" s="5" t="s">
        <v>30</v>
      </c>
      <c r="E26" s="47">
        <f>B50*1.5</f>
        <v>6444.2340000000004</v>
      </c>
    </row>
    <row r="27" spans="1:16" x14ac:dyDescent="0.25">
      <c r="A27" t="s">
        <v>28</v>
      </c>
      <c r="B27" s="22">
        <f>P24</f>
        <v>1911.6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3711.11</v>
      </c>
      <c r="H32" s="37"/>
      <c r="I32" s="26" t="s">
        <v>50</v>
      </c>
      <c r="J32" s="44">
        <f>'Sem 37'!J32+'Sem 38'!F32</f>
        <v>3761.11</v>
      </c>
      <c r="L32" s="37"/>
      <c r="M32" s="27" t="s">
        <v>50</v>
      </c>
      <c r="N32" s="45">
        <f>'Sem 37'!N32+'Sem 38'!F32</f>
        <v>33940.980000000003</v>
      </c>
    </row>
    <row r="33" spans="1:15" x14ac:dyDescent="0.25">
      <c r="A33" t="s">
        <v>33</v>
      </c>
      <c r="B33" s="28">
        <f>IF(C33="","",(C33*1.16)+3.75+10)</f>
        <v>2317.2779999999998</v>
      </c>
      <c r="C33" s="34">
        <v>1985.8</v>
      </c>
      <c r="D33" s="37"/>
      <c r="E33" s="25" t="s">
        <v>51</v>
      </c>
      <c r="F33" s="42">
        <f>B50</f>
        <v>4296.1559999999999</v>
      </c>
      <c r="H33" s="37"/>
      <c r="I33" s="26" t="s">
        <v>51</v>
      </c>
      <c r="J33" s="44">
        <f>'Sem 37'!J33+'Sem 38'!F33</f>
        <v>4297.1559999999999</v>
      </c>
      <c r="L33" s="37"/>
      <c r="M33" s="27" t="s">
        <v>51</v>
      </c>
      <c r="N33" s="45">
        <f>'Sem 37'!N33+'Sem 38'!F33</f>
        <v>23029.4548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-585.04599999999982</v>
      </c>
      <c r="H35" s="37"/>
      <c r="I35" s="26" t="s">
        <v>52</v>
      </c>
      <c r="J35" s="44">
        <f>'Sem 37'!J35+'Sem 38'!F35</f>
        <v>-536.04599999999982</v>
      </c>
      <c r="L35" s="37"/>
      <c r="M35" s="27" t="s">
        <v>52</v>
      </c>
      <c r="N35" s="45">
        <f>'Sem 37'!N35+'Sem 38'!F35</f>
        <v>10911.525200000005</v>
      </c>
    </row>
    <row r="36" spans="1:15" x14ac:dyDescent="0.25">
      <c r="A36" t="s">
        <v>36</v>
      </c>
      <c r="B36" s="31">
        <v>1298.5899999999999</v>
      </c>
      <c r="D36" s="37"/>
      <c r="E36" s="25" t="s">
        <v>53</v>
      </c>
      <c r="F36" s="43">
        <f>(F32-F33)/F33</f>
        <v>-0.13617894694699165</v>
      </c>
      <c r="H36" s="37"/>
      <c r="I36" s="26" t="s">
        <v>53</v>
      </c>
      <c r="J36" s="52">
        <f>(J32-J33)/J33</f>
        <v>-0.1247443658084556</v>
      </c>
      <c r="L36" s="37"/>
      <c r="M36" s="27" t="s">
        <v>53</v>
      </c>
      <c r="N36" s="53">
        <f>(N32-N33)/N33</f>
        <v>0.47380736082384389</v>
      </c>
    </row>
    <row r="37" spans="1:15" x14ac:dyDescent="0.25">
      <c r="A37" t="s">
        <v>37</v>
      </c>
      <c r="B37" s="31">
        <v>561.91999999999996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21"/>
      <c r="N40" s="122" t="s">
        <v>217</v>
      </c>
      <c r="O40" s="123"/>
    </row>
    <row r="41" spans="1:15" x14ac:dyDescent="0.25">
      <c r="B41" s="21"/>
      <c r="D41" s="37"/>
      <c r="H41" s="37"/>
      <c r="L41" s="37"/>
      <c r="M41" s="124" t="s">
        <v>218</v>
      </c>
      <c r="N41" s="129">
        <v>52.7</v>
      </c>
      <c r="O41" s="125"/>
    </row>
    <row r="42" spans="1:15" x14ac:dyDescent="0.25">
      <c r="A42" s="2" t="s">
        <v>39</v>
      </c>
      <c r="B42" s="21"/>
      <c r="D42" s="37"/>
      <c r="H42" s="37"/>
      <c r="L42" s="37"/>
      <c r="M42" s="124"/>
      <c r="N42" s="129">
        <v>6.5</v>
      </c>
      <c r="O42" s="125"/>
    </row>
    <row r="43" spans="1:15" x14ac:dyDescent="0.25">
      <c r="A43" t="s">
        <v>40</v>
      </c>
      <c r="B43" s="21">
        <f>N49</f>
        <v>118.36800000000001</v>
      </c>
      <c r="D43" s="37"/>
      <c r="H43" s="37"/>
      <c r="L43" s="37"/>
      <c r="M43" s="124"/>
      <c r="N43" s="129">
        <v>24.26</v>
      </c>
      <c r="O43" s="125"/>
    </row>
    <row r="44" spans="1:15" x14ac:dyDescent="0.25">
      <c r="A44" s="6"/>
      <c r="B44" s="21"/>
      <c r="D44" s="37"/>
      <c r="H44" s="37"/>
      <c r="L44" s="37"/>
      <c r="M44" s="124"/>
      <c r="N44" s="129">
        <v>36</v>
      </c>
      <c r="O44" s="125"/>
    </row>
    <row r="45" spans="1:15" x14ac:dyDescent="0.25">
      <c r="A45" s="6"/>
      <c r="B45" s="21"/>
      <c r="D45" s="37"/>
      <c r="H45" s="37"/>
      <c r="L45" s="37"/>
      <c r="M45" s="124"/>
      <c r="N45" s="129">
        <v>24.26</v>
      </c>
      <c r="O45" s="125"/>
    </row>
    <row r="46" spans="1:15" x14ac:dyDescent="0.25">
      <c r="A46" s="6"/>
      <c r="B46" s="21"/>
      <c r="D46" s="37"/>
      <c r="H46" s="37"/>
      <c r="L46" s="37"/>
      <c r="M46" s="124"/>
      <c r="N46" s="129">
        <v>4.24</v>
      </c>
      <c r="O46" s="125"/>
    </row>
    <row r="47" spans="1:15" x14ac:dyDescent="0.25">
      <c r="A47" s="6"/>
      <c r="B47" s="21"/>
      <c r="D47" s="37"/>
      <c r="H47" s="37"/>
      <c r="L47" s="37"/>
      <c r="M47" s="124"/>
      <c r="N47" s="129"/>
      <c r="O47" s="125"/>
    </row>
    <row r="48" spans="1:15" ht="15.75" x14ac:dyDescent="0.25">
      <c r="B48" s="21"/>
      <c r="D48" s="37"/>
      <c r="E48" t="s">
        <v>56</v>
      </c>
      <c r="G48" s="40">
        <v>2283.2600000000002</v>
      </c>
      <c r="H48" s="37"/>
      <c r="I48" s="38" t="s">
        <v>61</v>
      </c>
      <c r="J48" s="38"/>
      <c r="K48" s="39">
        <f>F32</f>
        <v>3711.11</v>
      </c>
      <c r="L48" s="37"/>
      <c r="M48" s="124" t="s">
        <v>219</v>
      </c>
      <c r="N48" s="129">
        <f>SUM(N41:N47)</f>
        <v>147.96</v>
      </c>
      <c r="O48" s="125"/>
    </row>
    <row r="49" spans="1:15" ht="15.75" thickBot="1" x14ac:dyDescent="0.3">
      <c r="B49" s="21"/>
      <c r="D49" s="37"/>
      <c r="G49" s="40"/>
      <c r="H49" s="37"/>
      <c r="L49" s="37"/>
      <c r="M49" s="124" t="s">
        <v>220</v>
      </c>
      <c r="N49" s="129">
        <f>N48*0.8</f>
        <v>118.36800000000001</v>
      </c>
      <c r="O49" s="125"/>
    </row>
    <row r="50" spans="1:15" ht="15.75" thickBot="1" x14ac:dyDescent="0.3">
      <c r="A50" t="s">
        <v>42</v>
      </c>
      <c r="B50" s="33">
        <f>SUM(B33:B48)</f>
        <v>4296.1559999999999</v>
      </c>
      <c r="D50" s="37"/>
      <c r="G50" s="40"/>
      <c r="H50" s="37"/>
      <c r="I50" t="s">
        <v>62</v>
      </c>
      <c r="J50">
        <v>3487.51</v>
      </c>
      <c r="K50" s="41">
        <f>J50/K48</f>
        <v>0.93974848495463625</v>
      </c>
      <c r="L50" s="37"/>
      <c r="M50" s="124" t="s">
        <v>221</v>
      </c>
      <c r="N50" s="129">
        <f>N48-N49</f>
        <v>29.591999999999999</v>
      </c>
      <c r="O50" s="125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223.59999999999991</v>
      </c>
      <c r="K51" s="41">
        <f>J51/K48</f>
        <v>6.025151504536376E-2</v>
      </c>
      <c r="L51" s="37"/>
      <c r="M51" s="124"/>
      <c r="N51" s="85"/>
      <c r="O51" s="125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1393.59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89.907199999999989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646.9</v>
      </c>
      <c r="H55" s="37"/>
      <c r="L55" s="37"/>
    </row>
    <row r="56" spans="1:15" ht="15.75" thickBot="1" x14ac:dyDescent="0.3">
      <c r="A56" t="s">
        <v>44</v>
      </c>
      <c r="B56" s="33"/>
      <c r="D56" s="37"/>
      <c r="H56" s="37"/>
      <c r="L56" s="37"/>
      <c r="M56" t="s">
        <v>236</v>
      </c>
      <c r="N56" s="65">
        <f>'Sem 37'!N56+'Sem 38'!F35</f>
        <v>49686.716400000005</v>
      </c>
    </row>
    <row r="57" spans="1:15" ht="15.75" thickBot="1" x14ac:dyDescent="0.3">
      <c r="A57" t="s">
        <v>45</v>
      </c>
      <c r="B57" s="21"/>
      <c r="M57" t="s">
        <v>209</v>
      </c>
      <c r="N57" s="113">
        <f>'Nouv FRAIS'!G46*_xlfn.ISOWEEKNUM(L3)</f>
        <v>22614.011923076923</v>
      </c>
    </row>
    <row r="58" spans="1:15" ht="16.5" thickBot="1" x14ac:dyDescent="0.3">
      <c r="B58" s="21"/>
      <c r="E58" t="s">
        <v>65</v>
      </c>
      <c r="G58" s="48">
        <f>SUM(G48:G50)+SUM(G53:G55)</f>
        <v>4323.75</v>
      </c>
      <c r="O58" t="s">
        <v>271</v>
      </c>
    </row>
    <row r="59" spans="1:15" x14ac:dyDescent="0.25">
      <c r="A59" t="s">
        <v>46</v>
      </c>
      <c r="B59" s="21"/>
      <c r="M59" t="s">
        <v>210</v>
      </c>
      <c r="N59" s="113">
        <f>N56-N57</f>
        <v>27072.704476923082</v>
      </c>
      <c r="O59" s="21">
        <f>N59/_xlfn.ISOWEEKNUM($L$3)</f>
        <v>712.43959149797581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theme="4" tint="0.59999389629810485"/>
    <pageSetUpPr fitToPage="1"/>
  </sheetPr>
  <dimension ref="A1:P65"/>
  <sheetViews>
    <sheetView workbookViewId="0">
      <selection activeCell="A53" sqref="A53:B54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43367</v>
      </c>
      <c r="C3" s="10"/>
      <c r="D3" s="9">
        <v>43368</v>
      </c>
      <c r="E3" s="10"/>
      <c r="F3" s="9">
        <v>43369</v>
      </c>
      <c r="G3" s="10"/>
      <c r="H3" s="9">
        <v>43370</v>
      </c>
      <c r="I3" s="10"/>
      <c r="J3" s="9">
        <v>43371</v>
      </c>
      <c r="K3" s="10"/>
      <c r="L3" s="9">
        <v>43372</v>
      </c>
      <c r="M3" s="10"/>
      <c r="N3" s="9">
        <v>43373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98.25</v>
      </c>
      <c r="E4" s="12"/>
      <c r="F4" s="12"/>
      <c r="G4" s="12"/>
      <c r="H4" s="12">
        <f>196.4-98.25</f>
        <v>98.15</v>
      </c>
      <c r="I4" s="12">
        <v>208.18</v>
      </c>
      <c r="J4" s="12"/>
      <c r="K4" s="12"/>
      <c r="L4" s="12"/>
      <c r="M4" s="12"/>
      <c r="N4" s="12"/>
      <c r="O4" s="12">
        <f>B4+D4+F4+H4+J4+L4+N4</f>
        <v>196.4</v>
      </c>
      <c r="P4" s="12">
        <f>C4+E4+G4+I4+K4+M4</f>
        <v>208.18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>
        <v>97.2</v>
      </c>
      <c r="I5" s="14"/>
      <c r="J5" s="14"/>
      <c r="K5" s="14"/>
      <c r="L5" s="14"/>
      <c r="M5" s="14"/>
      <c r="N5" s="14"/>
      <c r="O5" s="12">
        <f t="shared" ref="O5:O23" si="0">B5+D5+F5+H5+J5+L5+N5</f>
        <v>97.2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283</v>
      </c>
      <c r="E6" s="14">
        <v>288.83</v>
      </c>
      <c r="F6" s="14"/>
      <c r="G6" s="14"/>
      <c r="H6" s="14">
        <v>464.56</v>
      </c>
      <c r="I6" s="14"/>
      <c r="J6" s="14"/>
      <c r="K6" s="14"/>
      <c r="L6" s="14"/>
      <c r="M6" s="14"/>
      <c r="N6" s="14"/>
      <c r="O6" s="12">
        <f t="shared" si="0"/>
        <v>747.56</v>
      </c>
      <c r="P6" s="12">
        <f t="shared" si="1"/>
        <v>288.83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499.9</v>
      </c>
      <c r="G7" s="14"/>
      <c r="H7" s="14"/>
      <c r="I7" s="14"/>
      <c r="J7" s="14">
        <f>541.4-499.9</f>
        <v>41.5</v>
      </c>
      <c r="K7" s="14">
        <v>573.88</v>
      </c>
      <c r="L7" s="14"/>
      <c r="M7" s="14"/>
      <c r="N7" s="14"/>
      <c r="O7" s="12">
        <f t="shared" si="0"/>
        <v>541.4</v>
      </c>
      <c r="P7" s="12">
        <f t="shared" si="1"/>
        <v>573.88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294</v>
      </c>
      <c r="G9" s="14"/>
      <c r="H9" s="14">
        <f>487.6-294+40.34</f>
        <v>233.94000000000003</v>
      </c>
      <c r="I9" s="14">
        <v>565.66999999999996</v>
      </c>
      <c r="J9" s="14"/>
      <c r="K9" s="14"/>
      <c r="L9" s="14"/>
      <c r="M9" s="14"/>
      <c r="N9" s="14"/>
      <c r="O9" s="12">
        <f t="shared" si="0"/>
        <v>527.94000000000005</v>
      </c>
      <c r="P9" s="12">
        <f t="shared" si="1"/>
        <v>565.66999999999996</v>
      </c>
    </row>
    <row r="10" spans="1:16" ht="18.75" x14ac:dyDescent="0.3">
      <c r="A10" s="69" t="s">
        <v>16</v>
      </c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>
        <f t="shared" si="0"/>
        <v>0</v>
      </c>
      <c r="P10" s="72">
        <f t="shared" si="1"/>
        <v>0</v>
      </c>
    </row>
    <row r="11" spans="1:16" ht="18.75" x14ac:dyDescent="0.3">
      <c r="A11" s="69" t="s">
        <v>17</v>
      </c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2">
        <f t="shared" si="0"/>
        <v>0</v>
      </c>
      <c r="P11" s="7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>
        <v>109.4</v>
      </c>
      <c r="I12" s="14">
        <v>115.96</v>
      </c>
      <c r="J12" s="14"/>
      <c r="K12" s="14"/>
      <c r="L12" s="14"/>
      <c r="M12" s="14"/>
      <c r="N12" s="14"/>
      <c r="O12" s="12">
        <f t="shared" si="0"/>
        <v>109.4</v>
      </c>
      <c r="P12" s="12">
        <f t="shared" si="1"/>
        <v>115.96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412.25</v>
      </c>
      <c r="K13" s="14"/>
      <c r="L13" s="14"/>
      <c r="M13" s="14"/>
      <c r="N13" s="14"/>
      <c r="O13" s="12">
        <f t="shared" si="0"/>
        <v>412.25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124</v>
      </c>
      <c r="E15" s="14">
        <v>19.079999999999998</v>
      </c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124</v>
      </c>
      <c r="P15" s="12">
        <f t="shared" si="1"/>
        <v>19.079999999999998</v>
      </c>
    </row>
    <row r="16" spans="1:16" ht="18.75" x14ac:dyDescent="0.3">
      <c r="A16" s="19" t="s">
        <v>22</v>
      </c>
      <c r="B16" s="13"/>
      <c r="C16" s="14"/>
      <c r="D16" s="14">
        <v>154.05000000000001</v>
      </c>
      <c r="E16" s="14">
        <v>183.38</v>
      </c>
      <c r="F16" s="14"/>
      <c r="G16" s="14"/>
      <c r="H16" s="14">
        <v>141.76</v>
      </c>
      <c r="I16" s="14"/>
      <c r="J16" s="14"/>
      <c r="K16" s="14"/>
      <c r="L16" s="14"/>
      <c r="M16" s="14"/>
      <c r="N16" s="14"/>
      <c r="O16" s="12">
        <f t="shared" si="0"/>
        <v>295.81</v>
      </c>
      <c r="P16" s="12">
        <f t="shared" si="1"/>
        <v>183.38</v>
      </c>
    </row>
    <row r="17" spans="1:16" ht="18.75" x14ac:dyDescent="0.3">
      <c r="A17" s="18" t="s">
        <v>23</v>
      </c>
      <c r="B17" s="13"/>
      <c r="C17" s="14"/>
      <c r="D17" s="14">
        <v>162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162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f>111.3+70.82</f>
        <v>182.12</v>
      </c>
      <c r="G18" s="14">
        <v>238.28</v>
      </c>
      <c r="H18" s="14"/>
      <c r="I18" s="14"/>
      <c r="J18" s="14">
        <f>347.25-182.12</f>
        <v>165.13</v>
      </c>
      <c r="K18" s="14"/>
      <c r="L18" s="14"/>
      <c r="M18" s="14"/>
      <c r="N18" s="14"/>
      <c r="O18" s="12">
        <f t="shared" si="0"/>
        <v>347.25</v>
      </c>
      <c r="P18" s="12">
        <f t="shared" si="1"/>
        <v>238.28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90</v>
      </c>
      <c r="G23" s="17">
        <v>90</v>
      </c>
      <c r="H23" s="17">
        <v>80</v>
      </c>
      <c r="I23" s="17">
        <v>80</v>
      </c>
      <c r="J23" s="17">
        <v>125</v>
      </c>
      <c r="K23" s="17">
        <v>125</v>
      </c>
      <c r="L23" s="17"/>
      <c r="M23" s="17"/>
      <c r="N23" s="17"/>
      <c r="O23" s="49">
        <f t="shared" si="0"/>
        <v>295</v>
      </c>
      <c r="P23" s="49">
        <f t="shared" si="1"/>
        <v>295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821.3</v>
      </c>
      <c r="E24" s="21">
        <f t="shared" si="2"/>
        <v>491.28999999999996</v>
      </c>
      <c r="F24" s="21">
        <f t="shared" si="2"/>
        <v>1066.02</v>
      </c>
      <c r="G24" s="21">
        <f t="shared" si="2"/>
        <v>328.28</v>
      </c>
      <c r="H24" s="21">
        <f t="shared" si="2"/>
        <v>1225.0100000000002</v>
      </c>
      <c r="I24" s="21">
        <f t="shared" si="2"/>
        <v>969.81</v>
      </c>
      <c r="J24" s="21">
        <f t="shared" si="2"/>
        <v>743.88</v>
      </c>
      <c r="K24" s="21">
        <f t="shared" si="2"/>
        <v>698.88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3856.21</v>
      </c>
      <c r="P24" s="50">
        <f t="shared" si="2"/>
        <v>2488.2600000000002</v>
      </c>
    </row>
    <row r="25" spans="1:16" ht="15.75" thickBot="1" x14ac:dyDescent="0.3">
      <c r="N25" t="s">
        <v>55</v>
      </c>
      <c r="O25" s="50">
        <f>SUM(B24+D24+F24+H24+J24+L24+N24)</f>
        <v>3856.21</v>
      </c>
      <c r="P25" s="50">
        <f>SUM(C24+E24+G24+I24+K24+M24)</f>
        <v>2488.2599999999998</v>
      </c>
    </row>
    <row r="26" spans="1:16" ht="15.75" thickBot="1" x14ac:dyDescent="0.3">
      <c r="A26" t="s">
        <v>27</v>
      </c>
      <c r="B26" s="22">
        <f>O24</f>
        <v>3856.21</v>
      </c>
      <c r="D26" s="5" t="s">
        <v>30</v>
      </c>
      <c r="E26" s="47">
        <f>B50*1.5</f>
        <v>4494.1751999999997</v>
      </c>
    </row>
    <row r="27" spans="1:16" x14ac:dyDescent="0.25">
      <c r="A27" t="s">
        <v>28</v>
      </c>
      <c r="B27" s="22">
        <f>P24</f>
        <v>2488.2600000000002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3856.21</v>
      </c>
      <c r="H32" s="37"/>
      <c r="I32" s="26" t="s">
        <v>50</v>
      </c>
      <c r="J32" s="44">
        <f>'Sem 38'!J32+'Sem 39'!F32</f>
        <v>7617.32</v>
      </c>
      <c r="L32" s="37"/>
      <c r="M32" s="27" t="s">
        <v>50</v>
      </c>
      <c r="N32" s="45">
        <f>'Sem 38'!N32</f>
        <v>33940.980000000003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2996.1167999999998</v>
      </c>
      <c r="H33" s="37"/>
      <c r="I33" s="26" t="s">
        <v>51</v>
      </c>
      <c r="J33" s="44">
        <f>'Sem 38'!J33+'Sem 39'!F33</f>
        <v>7293.2727999999997</v>
      </c>
      <c r="L33" s="37"/>
      <c r="M33" s="27" t="s">
        <v>51</v>
      </c>
      <c r="N33" s="45">
        <f>'Sem 38'!N33</f>
        <v>23029.4548</v>
      </c>
    </row>
    <row r="34" spans="1:15" x14ac:dyDescent="0.25">
      <c r="A34" t="s">
        <v>34</v>
      </c>
      <c r="B34" s="29">
        <f>IF(C34="","",(C34*1.16)+3.75+10)</f>
        <v>1133.4748</v>
      </c>
      <c r="C34" s="35">
        <v>965.28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860.09320000000025</v>
      </c>
      <c r="H35" s="37"/>
      <c r="I35" s="26" t="s">
        <v>52</v>
      </c>
      <c r="J35" s="44">
        <f>'Sem 38'!J35+'Sem 39'!F35</f>
        <v>324.04720000000043</v>
      </c>
      <c r="L35" s="37"/>
      <c r="M35" s="27" t="s">
        <v>52</v>
      </c>
      <c r="N35" s="45">
        <f>'Sem 38'!N35</f>
        <v>10911.525200000005</v>
      </c>
    </row>
    <row r="36" spans="1:15" x14ac:dyDescent="0.25">
      <c r="A36" t="s">
        <v>36</v>
      </c>
      <c r="B36" s="31">
        <v>1247.21</v>
      </c>
      <c r="D36" s="37"/>
      <c r="E36" s="25" t="s">
        <v>53</v>
      </c>
      <c r="F36" s="43">
        <f>(F32-F33)/F33</f>
        <v>0.28706931585577716</v>
      </c>
      <c r="H36" s="37"/>
      <c r="I36" s="26" t="s">
        <v>53</v>
      </c>
      <c r="J36" s="52">
        <f>(J32-J33)/J33</f>
        <v>4.4430972059621848E-2</v>
      </c>
      <c r="L36" s="37"/>
      <c r="M36" s="27" t="s">
        <v>53</v>
      </c>
      <c r="N36" s="53">
        <f>(N32-N33)/N33</f>
        <v>0.47380736082384389</v>
      </c>
    </row>
    <row r="37" spans="1:15" x14ac:dyDescent="0.25">
      <c r="A37" t="s">
        <v>37</v>
      </c>
      <c r="B37" s="31">
        <v>593.20000000000005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H41" s="37"/>
      <c r="L41" s="37"/>
      <c r="M41" s="156" t="s">
        <v>218</v>
      </c>
      <c r="N41" s="157">
        <v>70.819999999999993</v>
      </c>
      <c r="O41" s="158"/>
    </row>
    <row r="42" spans="1:15" x14ac:dyDescent="0.25">
      <c r="A42" s="2" t="s">
        <v>39</v>
      </c>
      <c r="B42" s="21"/>
      <c r="D42" s="37"/>
      <c r="H42" s="37"/>
      <c r="L42" s="37"/>
      <c r="M42" s="156"/>
      <c r="N42" s="157">
        <v>40.340000000000003</v>
      </c>
      <c r="O42" s="158"/>
    </row>
    <row r="43" spans="1:15" x14ac:dyDescent="0.25">
      <c r="A43" t="s">
        <v>40</v>
      </c>
      <c r="B43" s="21">
        <f>N50</f>
        <v>22.231999999999999</v>
      </c>
      <c r="D43" s="37"/>
      <c r="H43" s="37"/>
      <c r="L43" s="37"/>
      <c r="M43" s="156"/>
      <c r="N43" s="157"/>
      <c r="O43" s="158"/>
    </row>
    <row r="44" spans="1:15" x14ac:dyDescent="0.25">
      <c r="A44" s="6"/>
      <c r="B44" s="21"/>
      <c r="D44" s="37"/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3856.21</v>
      </c>
      <c r="L48" s="37"/>
      <c r="M48" s="156" t="s">
        <v>219</v>
      </c>
      <c r="N48" s="157">
        <f>SUM(N41:N47)</f>
        <v>111.16</v>
      </c>
      <c r="O48" s="158"/>
    </row>
    <row r="49" spans="1:15" ht="15.75" thickBot="1" x14ac:dyDescent="0.3">
      <c r="B49" s="21"/>
      <c r="D49" s="37"/>
      <c r="G49" s="40">
        <v>887.83</v>
      </c>
      <c r="H49" s="37"/>
      <c r="L49" s="37"/>
      <c r="M49" s="156" t="s">
        <v>220</v>
      </c>
      <c r="N49" s="157">
        <f>N48*0.8</f>
        <v>88.927999999999997</v>
      </c>
      <c r="O49" s="158"/>
    </row>
    <row r="50" spans="1:15" ht="15.75" thickBot="1" x14ac:dyDescent="0.3">
      <c r="A50" t="s">
        <v>42</v>
      </c>
      <c r="B50" s="33">
        <f>SUM(B33:B48)</f>
        <v>2996.1167999999998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22.231999999999999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3856.21</v>
      </c>
      <c r="K51" s="41">
        <f>J51/K48</f>
        <v>1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1688.76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94.912000000000006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599.74</v>
      </c>
      <c r="H55" s="37"/>
      <c r="L55" s="37"/>
    </row>
    <row r="56" spans="1:15" ht="15.75" thickBot="1" x14ac:dyDescent="0.3">
      <c r="A56" t="s">
        <v>44</v>
      </c>
      <c r="B56" s="33"/>
      <c r="D56" s="37"/>
      <c r="H56" s="37"/>
      <c r="L56" s="37"/>
      <c r="M56" t="s">
        <v>236</v>
      </c>
      <c r="N56" s="65">
        <f>'Sem 38'!N56+'Sem 39'!F35</f>
        <v>50546.809600000008</v>
      </c>
    </row>
    <row r="57" spans="1:15" ht="15.75" thickBot="1" x14ac:dyDescent="0.3">
      <c r="A57" t="s">
        <v>45</v>
      </c>
      <c r="B57" s="21"/>
      <c r="M57" t="s">
        <v>209</v>
      </c>
      <c r="N57" s="113">
        <f>'Nouv FRAIS'!G46*_xlfn.ISOWEEKNUM(L3)</f>
        <v>23209.1175</v>
      </c>
    </row>
    <row r="58" spans="1:15" ht="16.5" thickBot="1" x14ac:dyDescent="0.3">
      <c r="B58" s="21"/>
      <c r="E58" t="s">
        <v>65</v>
      </c>
      <c r="G58" s="48">
        <f>SUM(G48:G50)+SUM(G53:G55)</f>
        <v>3176.33</v>
      </c>
      <c r="O58" t="s">
        <v>271</v>
      </c>
    </row>
    <row r="59" spans="1:15" x14ac:dyDescent="0.25">
      <c r="A59" t="s">
        <v>46</v>
      </c>
      <c r="B59" s="21"/>
      <c r="M59" t="s">
        <v>210</v>
      </c>
      <c r="N59" s="113">
        <f>N56-N57</f>
        <v>27337.692100000007</v>
      </c>
      <c r="O59" s="21">
        <f>N59/_xlfn.ISOWEEKNUM($L$3)</f>
        <v>700.96646410256426</v>
      </c>
    </row>
    <row r="61" spans="1:15" x14ac:dyDescent="0.25">
      <c r="M61" t="s">
        <v>288</v>
      </c>
    </row>
    <row r="62" spans="1:15" x14ac:dyDescent="0.25">
      <c r="M62" t="s">
        <v>236</v>
      </c>
      <c r="N62" s="65">
        <f>N56</f>
        <v>50546.809600000008</v>
      </c>
    </row>
    <row r="63" spans="1:15" x14ac:dyDescent="0.25">
      <c r="M63" t="s">
        <v>209</v>
      </c>
      <c r="N63" s="21">
        <f>FRAIS!G44*_xlfn.ISOWEEKNUM(L3)</f>
        <v>36500.557499999995</v>
      </c>
    </row>
    <row r="65" spans="13:15" x14ac:dyDescent="0.25">
      <c r="M65" t="s">
        <v>210</v>
      </c>
      <c r="N65" s="160">
        <f>N62-N63</f>
        <v>14046.252100000012</v>
      </c>
      <c r="O65" s="21">
        <f>N65/_xlfn.ISOWEEKNUM(L3)</f>
        <v>360.16031025641058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theme="7" tint="0.59999389629810485"/>
    <pageSetUpPr fitToPage="1"/>
  </sheetPr>
  <dimension ref="A1:T59"/>
  <sheetViews>
    <sheetView topLeftCell="A4" workbookViewId="0">
      <selection activeCell="Q32" sqref="Q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5" width="12.28515625" customWidth="1"/>
    <col min="17" max="17" width="13" bestFit="1" customWidth="1"/>
    <col min="18" max="18" width="15.28515625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43374</v>
      </c>
      <c r="C3" s="10"/>
      <c r="D3" s="9">
        <v>43375</v>
      </c>
      <c r="E3" s="10"/>
      <c r="F3" s="9">
        <v>43376</v>
      </c>
      <c r="G3" s="10"/>
      <c r="H3" s="9">
        <v>43377</v>
      </c>
      <c r="I3" s="10"/>
      <c r="J3" s="9">
        <v>43378</v>
      </c>
      <c r="K3" s="10"/>
      <c r="L3" s="9">
        <v>43379</v>
      </c>
      <c r="M3" s="10"/>
      <c r="N3" s="9">
        <v>43380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237.97</v>
      </c>
      <c r="E4" s="12"/>
      <c r="F4" s="12"/>
      <c r="G4" s="12"/>
      <c r="H4" s="12">
        <f>514.47-237.97</f>
        <v>276.5</v>
      </c>
      <c r="I4" s="12">
        <v>545.34</v>
      </c>
      <c r="J4" s="12">
        <v>23.4</v>
      </c>
      <c r="K4" s="12"/>
      <c r="L4" s="12"/>
      <c r="M4" s="12"/>
      <c r="N4" s="12"/>
      <c r="O4" s="12">
        <f>B4+D4+F4+H4+J4+L4+N4</f>
        <v>537.87</v>
      </c>
      <c r="P4" s="12">
        <f>C4+E4+G4+I4+K4+M4</f>
        <v>545.34</v>
      </c>
    </row>
    <row r="5" spans="1:16" ht="18.75" x14ac:dyDescent="0.3">
      <c r="A5" s="18" t="s">
        <v>11</v>
      </c>
      <c r="B5" s="13"/>
      <c r="C5" s="14"/>
      <c r="D5" s="14">
        <v>48</v>
      </c>
      <c r="E5" s="14"/>
      <c r="F5" s="14"/>
      <c r="G5" s="14"/>
      <c r="H5" s="14">
        <v>61.5</v>
      </c>
      <c r="I5" s="14"/>
      <c r="J5" s="14"/>
      <c r="K5" s="14"/>
      <c r="L5" s="14"/>
      <c r="M5" s="14"/>
      <c r="N5" s="14"/>
      <c r="O5" s="12">
        <f t="shared" ref="O5:O23" si="0">B5+D5+F5+H5+J5+L5+N5</f>
        <v>109.5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278.5</v>
      </c>
      <c r="I6" s="14">
        <v>306.14999999999998</v>
      </c>
      <c r="J6" s="14"/>
      <c r="K6" s="14"/>
      <c r="L6" s="14"/>
      <c r="M6" s="14"/>
      <c r="N6" s="14"/>
      <c r="O6" s="12">
        <f t="shared" si="0"/>
        <v>278.5</v>
      </c>
      <c r="P6" s="12">
        <f t="shared" si="1"/>
        <v>306.14999999999998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f>388.25+141.64</f>
        <v>529.89</v>
      </c>
      <c r="G7" s="14"/>
      <c r="H7" s="14"/>
      <c r="I7" s="14"/>
      <c r="J7" s="14">
        <f>535.55-388.25</f>
        <v>147.29999999999995</v>
      </c>
      <c r="K7" s="14">
        <v>759.06</v>
      </c>
      <c r="L7" s="14"/>
      <c r="M7" s="14"/>
      <c r="N7" s="14"/>
      <c r="O7" s="12">
        <f t="shared" si="0"/>
        <v>677.18999999999994</v>
      </c>
      <c r="P7" s="12">
        <f t="shared" si="1"/>
        <v>759.06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363.5</v>
      </c>
      <c r="I9" s="14">
        <v>385.31</v>
      </c>
      <c r="J9" s="14"/>
      <c r="K9" s="14"/>
      <c r="L9" s="14"/>
      <c r="M9" s="14"/>
      <c r="N9" s="14"/>
      <c r="O9" s="12">
        <f t="shared" si="0"/>
        <v>363.5</v>
      </c>
      <c r="P9" s="12">
        <f t="shared" si="1"/>
        <v>385.31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309.39999999999998</v>
      </c>
      <c r="K13" s="14"/>
      <c r="L13" s="14"/>
      <c r="M13" s="14"/>
      <c r="N13" s="14"/>
      <c r="O13" s="12">
        <f t="shared" si="0"/>
        <v>309.39999999999998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75.3</v>
      </c>
      <c r="K14" s="14">
        <v>79.819999999999993</v>
      </c>
      <c r="L14" s="14"/>
      <c r="M14" s="14"/>
      <c r="N14" s="14"/>
      <c r="O14" s="12">
        <f t="shared" si="0"/>
        <v>75.3</v>
      </c>
      <c r="P14" s="12">
        <f t="shared" si="1"/>
        <v>79.819999999999993</v>
      </c>
    </row>
    <row r="15" spans="1:16" ht="18.75" x14ac:dyDescent="0.3">
      <c r="A15" s="19" t="s">
        <v>21</v>
      </c>
      <c r="B15" s="13"/>
      <c r="C15" s="14"/>
      <c r="D15" s="14">
        <v>237.7</v>
      </c>
      <c r="E15" s="14">
        <f>357.98+131.44</f>
        <v>489.42</v>
      </c>
      <c r="F15" s="14"/>
      <c r="G15" s="14"/>
      <c r="H15" s="14">
        <v>52</v>
      </c>
      <c r="I15" s="14"/>
      <c r="J15" s="14"/>
      <c r="K15" s="14"/>
      <c r="L15" s="14"/>
      <c r="M15" s="14"/>
      <c r="N15" s="14"/>
      <c r="O15" s="12">
        <f t="shared" si="0"/>
        <v>289.7</v>
      </c>
      <c r="P15" s="12">
        <f t="shared" si="1"/>
        <v>489.42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>
        <v>149.4</v>
      </c>
      <c r="I16" s="14">
        <v>200</v>
      </c>
      <c r="J16" s="14"/>
      <c r="K16" s="14"/>
      <c r="L16" s="14"/>
      <c r="M16" s="14"/>
      <c r="N16" s="14"/>
      <c r="O16" s="12">
        <f t="shared" si="0"/>
        <v>149.4</v>
      </c>
      <c r="P16" s="12">
        <f t="shared" si="1"/>
        <v>200</v>
      </c>
    </row>
    <row r="17" spans="1:18" ht="18.75" x14ac:dyDescent="0.3">
      <c r="A17" s="18" t="s">
        <v>23</v>
      </c>
      <c r="B17" s="13"/>
      <c r="C17" s="14"/>
      <c r="D17" s="14">
        <v>176.7</v>
      </c>
      <c r="E17" s="14"/>
      <c r="F17" s="14"/>
      <c r="G17" s="14"/>
      <c r="H17" s="14">
        <v>136.44999999999999</v>
      </c>
      <c r="I17" s="14"/>
      <c r="J17" s="14"/>
      <c r="K17" s="14"/>
      <c r="L17" s="14"/>
      <c r="M17" s="14"/>
      <c r="N17" s="14"/>
      <c r="O17" s="12">
        <f t="shared" si="0"/>
        <v>313.14999999999998</v>
      </c>
      <c r="P17" s="12">
        <f t="shared" si="1"/>
        <v>0</v>
      </c>
    </row>
    <row r="18" spans="1:18" ht="18.75" x14ac:dyDescent="0.3">
      <c r="A18" s="18" t="s">
        <v>24</v>
      </c>
      <c r="B18" s="13"/>
      <c r="C18" s="14"/>
      <c r="D18" s="14"/>
      <c r="E18" s="14"/>
      <c r="F18" s="14">
        <v>167.9</v>
      </c>
      <c r="G18" s="14"/>
      <c r="H18" s="14"/>
      <c r="I18" s="14"/>
      <c r="J18" s="14">
        <f>384.05-167.9</f>
        <v>216.15</v>
      </c>
      <c r="K18" s="14"/>
      <c r="L18" s="14"/>
      <c r="M18" s="14"/>
      <c r="N18" s="14"/>
      <c r="O18" s="12">
        <f t="shared" si="0"/>
        <v>384.05</v>
      </c>
      <c r="P18" s="12">
        <f t="shared" si="1"/>
        <v>0</v>
      </c>
    </row>
    <row r="19" spans="1:18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8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8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8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8" ht="18.75" x14ac:dyDescent="0.3">
      <c r="A23" s="46" t="s">
        <v>64</v>
      </c>
      <c r="B23" s="16"/>
      <c r="C23" s="17"/>
      <c r="D23" s="17"/>
      <c r="E23" s="17"/>
      <c r="F23" s="17">
        <v>115.1</v>
      </c>
      <c r="G23" s="17">
        <v>115.1</v>
      </c>
      <c r="H23" s="17">
        <v>65</v>
      </c>
      <c r="I23" s="17">
        <v>65</v>
      </c>
      <c r="J23" s="17"/>
      <c r="K23" s="17"/>
      <c r="L23" s="17"/>
      <c r="M23" s="17"/>
      <c r="N23" s="17"/>
      <c r="O23" s="49">
        <f t="shared" si="0"/>
        <v>180.1</v>
      </c>
      <c r="P23" s="49">
        <f t="shared" si="1"/>
        <v>180.1</v>
      </c>
    </row>
    <row r="24" spans="1:18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700.37000000000012</v>
      </c>
      <c r="E24" s="21">
        <f t="shared" si="2"/>
        <v>489.42</v>
      </c>
      <c r="F24" s="21">
        <f t="shared" si="2"/>
        <v>812.89</v>
      </c>
      <c r="G24" s="21">
        <f t="shared" si="2"/>
        <v>115.1</v>
      </c>
      <c r="H24" s="21">
        <f t="shared" si="2"/>
        <v>1382.8500000000001</v>
      </c>
      <c r="I24" s="21">
        <f t="shared" si="2"/>
        <v>1501.8</v>
      </c>
      <c r="J24" s="21">
        <f t="shared" si="2"/>
        <v>771.54999999999984</v>
      </c>
      <c r="K24" s="21">
        <f t="shared" si="2"/>
        <v>838.87999999999988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3667.6600000000003</v>
      </c>
      <c r="P24" s="50">
        <f t="shared" si="2"/>
        <v>2945.2</v>
      </c>
    </row>
    <row r="25" spans="1:18" ht="15.75" thickBot="1" x14ac:dyDescent="0.3">
      <c r="N25" t="s">
        <v>55</v>
      </c>
      <c r="O25" s="50">
        <f>SUM(B24+D24+F24+H24+J24+L24+N24)</f>
        <v>3667.6600000000003</v>
      </c>
      <c r="P25" s="50">
        <f>SUM(C24+E24+G24+I24+K24+M24)</f>
        <v>2945.2</v>
      </c>
    </row>
    <row r="26" spans="1:18" ht="15.75" thickBot="1" x14ac:dyDescent="0.3">
      <c r="A26" t="s">
        <v>27</v>
      </c>
      <c r="B26" s="22">
        <f>O24</f>
        <v>3667.6600000000003</v>
      </c>
      <c r="D26" s="5" t="s">
        <v>30</v>
      </c>
      <c r="E26" s="47">
        <f>B50*1.5</f>
        <v>3980.2440000000001</v>
      </c>
    </row>
    <row r="27" spans="1:18" x14ac:dyDescent="0.25">
      <c r="A27" t="s">
        <v>28</v>
      </c>
      <c r="B27" s="22">
        <f>P24</f>
        <v>2945.2</v>
      </c>
    </row>
    <row r="28" spans="1:18" x14ac:dyDescent="0.25">
      <c r="A28" s="3" t="s">
        <v>29</v>
      </c>
    </row>
    <row r="30" spans="1:18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  <c r="P30" s="7" t="s">
        <v>289</v>
      </c>
      <c r="Q30" s="7"/>
    </row>
    <row r="31" spans="1:18" x14ac:dyDescent="0.25">
      <c r="D31" s="37"/>
      <c r="H31" s="37"/>
      <c r="L31" s="37"/>
      <c r="R31" s="162" t="s">
        <v>290</v>
      </c>
    </row>
    <row r="32" spans="1:18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3667.6600000000003</v>
      </c>
      <c r="H32" s="37"/>
      <c r="I32" s="26" t="s">
        <v>50</v>
      </c>
      <c r="J32" s="44">
        <f>F32</f>
        <v>3667.6600000000003</v>
      </c>
      <c r="L32" s="37"/>
      <c r="M32" s="27" t="s">
        <v>50</v>
      </c>
      <c r="N32" s="45">
        <f>J32</f>
        <v>3667.6600000000003</v>
      </c>
      <c r="P32" s="27" t="s">
        <v>50</v>
      </c>
      <c r="Q32" s="45">
        <f>'Sem 13'!N32+'Sem 26'!N32+N32</f>
        <v>186733.18000000002</v>
      </c>
      <c r="R32" s="163">
        <f>Q32*40.3399</f>
        <v>7532797.8078820007</v>
      </c>
    </row>
    <row r="33" spans="1:20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2653.4960000000001</v>
      </c>
      <c r="H33" s="37"/>
      <c r="I33" s="26" t="s">
        <v>51</v>
      </c>
      <c r="J33" s="44">
        <f>F33</f>
        <v>2653.4960000000001</v>
      </c>
      <c r="L33" s="37"/>
      <c r="M33" s="27" t="s">
        <v>51</v>
      </c>
      <c r="N33" s="45">
        <f>J33</f>
        <v>2653.4960000000001</v>
      </c>
      <c r="P33" s="27" t="s">
        <v>51</v>
      </c>
      <c r="Q33" s="45">
        <f>'Sem 13'!N33+'Sem 26'!N33+N33</f>
        <v>138646.1244</v>
      </c>
      <c r="R33" s="163">
        <f t="shared" ref="R33:R35" si="3">Q33*40.3399</f>
        <v>5592970.7936835596</v>
      </c>
    </row>
    <row r="34" spans="1:20" x14ac:dyDescent="0.25">
      <c r="A34" t="s">
        <v>34</v>
      </c>
      <c r="B34" s="29">
        <f>IF(C34="","",(C34*1.16)+3.75+10)</f>
        <v>1298.0440000000001</v>
      </c>
      <c r="C34" s="35">
        <v>1107.1500000000001</v>
      </c>
      <c r="D34" s="37"/>
      <c r="E34" s="25"/>
      <c r="F34" s="25"/>
      <c r="H34" s="37"/>
      <c r="I34" s="26"/>
      <c r="J34" s="44"/>
      <c r="L34" s="37"/>
      <c r="M34" s="27"/>
      <c r="N34" s="45"/>
      <c r="P34" s="27"/>
      <c r="Q34" s="45">
        <f>'Sem 13'!N34+'Sem 26'!N34+N34</f>
        <v>0</v>
      </c>
      <c r="R34" s="163">
        <f t="shared" si="3"/>
        <v>0</v>
      </c>
    </row>
    <row r="35" spans="1:20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1014.1640000000002</v>
      </c>
      <c r="H35" s="37"/>
      <c r="I35" s="26" t="s">
        <v>52</v>
      </c>
      <c r="J35" s="44">
        <f>F35</f>
        <v>1014.1640000000002</v>
      </c>
      <c r="L35" s="37"/>
      <c r="M35" s="27" t="s">
        <v>52</v>
      </c>
      <c r="N35" s="45">
        <f>J35</f>
        <v>1014.1640000000002</v>
      </c>
      <c r="P35" s="27" t="s">
        <v>52</v>
      </c>
      <c r="Q35" s="45">
        <f>'Sem 13'!N35+'Sem 26'!N35+N35</f>
        <v>48087.0556</v>
      </c>
      <c r="R35" s="163">
        <f t="shared" si="3"/>
        <v>1939827.0141984399</v>
      </c>
    </row>
    <row r="36" spans="1:20" x14ac:dyDescent="0.25">
      <c r="A36" t="s">
        <v>36</v>
      </c>
      <c r="B36" s="31">
        <v>869.14</v>
      </c>
      <c r="D36" s="37"/>
      <c r="E36" s="25" t="s">
        <v>53</v>
      </c>
      <c r="F36" s="43">
        <f>(F32-F33)/F33</f>
        <v>0.38219918175870632</v>
      </c>
      <c r="H36" s="37"/>
      <c r="I36" s="26" t="s">
        <v>53</v>
      </c>
      <c r="J36" s="52">
        <f>(J32-J33)/J33</f>
        <v>0.38219918175870632</v>
      </c>
      <c r="L36" s="37"/>
      <c r="M36" s="27" t="s">
        <v>53</v>
      </c>
      <c r="N36" s="53">
        <f>(N32-N33)/N33</f>
        <v>0.38219918175870632</v>
      </c>
      <c r="P36" s="27" t="s">
        <v>53</v>
      </c>
      <c r="Q36" s="53">
        <f>(Q32-Q33)/Q33</f>
        <v>0.34683303127368209</v>
      </c>
      <c r="R36" s="163"/>
    </row>
    <row r="37" spans="1:20" x14ac:dyDescent="0.25">
      <c r="A37" t="s">
        <v>37</v>
      </c>
      <c r="B37" s="31">
        <v>373</v>
      </c>
      <c r="D37" s="37"/>
      <c r="H37" s="37"/>
      <c r="L37" s="37"/>
      <c r="R37" s="163"/>
    </row>
    <row r="38" spans="1:20" ht="15.75" thickBot="1" x14ac:dyDescent="0.3">
      <c r="A38" t="s">
        <v>38</v>
      </c>
      <c r="B38" s="32"/>
      <c r="D38" s="37"/>
      <c r="H38" s="37"/>
      <c r="L38" s="37"/>
      <c r="R38" s="163"/>
    </row>
    <row r="39" spans="1:20" ht="15.75" thickBot="1" x14ac:dyDescent="0.3">
      <c r="B39" s="21"/>
      <c r="D39" s="37"/>
      <c r="H39" s="37"/>
      <c r="L39" s="37"/>
      <c r="Q39" t="s">
        <v>209</v>
      </c>
      <c r="R39" s="163">
        <f>N57*40.3399</f>
        <v>960259.97850076924</v>
      </c>
    </row>
    <row r="40" spans="1:20" x14ac:dyDescent="0.25">
      <c r="B40" s="21"/>
      <c r="D40" s="37"/>
      <c r="H40" s="37"/>
      <c r="L40" s="37"/>
      <c r="M40" s="153"/>
      <c r="N40" s="154" t="s">
        <v>217</v>
      </c>
      <c r="O40" s="155"/>
      <c r="R40" s="163"/>
    </row>
    <row r="41" spans="1:20" x14ac:dyDescent="0.25">
      <c r="B41" s="21"/>
      <c r="D41" s="37"/>
      <c r="H41" s="37"/>
      <c r="L41" s="37"/>
      <c r="M41" s="156" t="s">
        <v>218</v>
      </c>
      <c r="N41" s="157">
        <v>141.63999999999999</v>
      </c>
      <c r="O41" s="158"/>
      <c r="Q41" t="s">
        <v>291</v>
      </c>
      <c r="R41" s="163">
        <f>R35-R39</f>
        <v>979567.03569767065</v>
      </c>
    </row>
    <row r="42" spans="1:20" x14ac:dyDescent="0.25">
      <c r="A42" s="2" t="s">
        <v>39</v>
      </c>
      <c r="B42" s="21"/>
      <c r="D42" s="37"/>
      <c r="H42" s="37"/>
      <c r="L42" s="37"/>
      <c r="M42" s="156"/>
      <c r="N42" s="157"/>
      <c r="O42" s="158"/>
      <c r="Q42" t="s">
        <v>292</v>
      </c>
      <c r="R42" s="163">
        <f>R41/_xlfn.ISOWEEKNUM(L3)</f>
        <v>24489.175892441766</v>
      </c>
    </row>
    <row r="43" spans="1:20" x14ac:dyDescent="0.25">
      <c r="A43" t="s">
        <v>40</v>
      </c>
      <c r="B43" s="21">
        <f>N49</f>
        <v>113.312</v>
      </c>
      <c r="D43" s="37"/>
      <c r="H43" s="37"/>
      <c r="L43" s="37"/>
      <c r="M43" s="156"/>
      <c r="N43" s="157"/>
      <c r="O43" s="158"/>
      <c r="R43" s="161"/>
      <c r="S43" s="55">
        <v>43101</v>
      </c>
      <c r="T43" s="55">
        <v>43465</v>
      </c>
    </row>
    <row r="44" spans="1:20" x14ac:dyDescent="0.25">
      <c r="A44" s="6"/>
      <c r="B44" s="21"/>
      <c r="D44" s="37"/>
      <c r="H44" s="37"/>
      <c r="L44" s="37"/>
      <c r="M44" s="156"/>
      <c r="N44" s="157"/>
      <c r="O44" s="158"/>
      <c r="R44" s="161"/>
      <c r="S44">
        <f>NETWORKDAYS(S43,T43)</f>
        <v>261</v>
      </c>
      <c r="T44">
        <f ca="1">NETWORKDAYS(S43,S45)</f>
        <v>260</v>
      </c>
    </row>
    <row r="45" spans="1:20" x14ac:dyDescent="0.25">
      <c r="A45" s="6"/>
      <c r="B45" s="21"/>
      <c r="D45" s="37"/>
      <c r="H45" s="37"/>
      <c r="L45" s="37"/>
      <c r="M45" s="156"/>
      <c r="N45" s="157"/>
      <c r="O45" s="158"/>
      <c r="S45" s="55">
        <f ca="1">TODAY()</f>
        <v>43462</v>
      </c>
    </row>
    <row r="46" spans="1:20" x14ac:dyDescent="0.25">
      <c r="A46" s="6"/>
      <c r="B46" s="21"/>
      <c r="D46" s="37"/>
      <c r="H46" s="37"/>
      <c r="L46" s="37"/>
      <c r="M46" s="156"/>
      <c r="N46" s="157"/>
      <c r="O46" s="158"/>
      <c r="T46">
        <f ca="1">S44-T44</f>
        <v>1</v>
      </c>
    </row>
    <row r="47" spans="1:20" x14ac:dyDescent="0.25">
      <c r="A47" s="6"/>
      <c r="B47" s="21"/>
      <c r="D47" s="37"/>
      <c r="H47" s="37"/>
      <c r="L47" s="37"/>
      <c r="M47" s="156"/>
      <c r="N47" s="157"/>
      <c r="O47" s="158"/>
      <c r="Q47" t="s">
        <v>293</v>
      </c>
    </row>
    <row r="48" spans="1:20" ht="15.75" x14ac:dyDescent="0.25">
      <c r="B48" s="21"/>
      <c r="D48" s="37"/>
      <c r="E48" t="s">
        <v>56</v>
      </c>
      <c r="G48" s="40">
        <v>1506.2</v>
      </c>
      <c r="H48" s="37"/>
      <c r="I48" s="38" t="s">
        <v>61</v>
      </c>
      <c r="J48" s="38"/>
      <c r="K48" s="39">
        <f>F32</f>
        <v>3667.6600000000003</v>
      </c>
      <c r="L48" s="37"/>
      <c r="M48" s="156" t="s">
        <v>219</v>
      </c>
      <c r="N48" s="157">
        <f>SUM(N41:N47)</f>
        <v>141.63999999999999</v>
      </c>
      <c r="O48" s="158"/>
    </row>
    <row r="49" spans="1:18" ht="15.75" thickBot="1" x14ac:dyDescent="0.3">
      <c r="B49" s="21"/>
      <c r="D49" s="37"/>
      <c r="G49" s="40"/>
      <c r="H49" s="37"/>
      <c r="L49" s="37"/>
      <c r="M49" s="156" t="s">
        <v>220</v>
      </c>
      <c r="N49" s="157">
        <f>N48*0.8</f>
        <v>113.312</v>
      </c>
      <c r="O49" s="158"/>
      <c r="Q49" t="s">
        <v>294</v>
      </c>
      <c r="R49">
        <f ca="1">(Q32/T44)*S44</f>
        <v>187451.38453846154</v>
      </c>
    </row>
    <row r="50" spans="1:18" ht="15.75" thickBot="1" x14ac:dyDescent="0.3">
      <c r="A50" t="s">
        <v>42</v>
      </c>
      <c r="B50" s="33">
        <f>SUM(B33:B48)</f>
        <v>2653.4960000000001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28.327999999999989</v>
      </c>
      <c r="O50" s="158"/>
      <c r="Q50" t="s">
        <v>295</v>
      </c>
      <c r="R50" s="160">
        <f ca="1">Q33/T44*S44</f>
        <v>139179.37872461538</v>
      </c>
    </row>
    <row r="51" spans="1:18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3667.6600000000003</v>
      </c>
      <c r="K51" s="41">
        <f>J51/K48</f>
        <v>1</v>
      </c>
      <c r="L51" s="37"/>
      <c r="M51" s="156"/>
      <c r="N51" s="159"/>
      <c r="O51" s="158"/>
      <c r="Q51" t="s">
        <v>296</v>
      </c>
      <c r="R51" s="160">
        <f ca="1">R49-R50</f>
        <v>48272.005813846161</v>
      </c>
    </row>
    <row r="52" spans="1:18" x14ac:dyDescent="0.25">
      <c r="A52" t="s">
        <v>43</v>
      </c>
      <c r="B52" s="21"/>
      <c r="D52" s="37"/>
      <c r="H52" s="37"/>
      <c r="L52" s="37"/>
      <c r="M52" s="124"/>
      <c r="N52" s="85"/>
      <c r="O52" s="125"/>
      <c r="Q52" t="s">
        <v>297</v>
      </c>
      <c r="R52" s="160">
        <f ca="1">R51/50</f>
        <v>965.44011627692316</v>
      </c>
    </row>
    <row r="53" spans="1:18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975.95</v>
      </c>
      <c r="H53" s="37"/>
      <c r="L53" s="37"/>
      <c r="M53" s="126"/>
      <c r="N53" s="127"/>
      <c r="O53" s="128"/>
    </row>
    <row r="54" spans="1:18" x14ac:dyDescent="0.25">
      <c r="A54" s="79" t="s">
        <v>189</v>
      </c>
      <c r="B54" s="21">
        <f>(B37+B38)*16%</f>
        <v>59.68</v>
      </c>
      <c r="D54" s="37"/>
      <c r="E54" t="s">
        <v>59</v>
      </c>
      <c r="G54" s="40"/>
      <c r="H54" s="37"/>
      <c r="L54" s="37"/>
    </row>
    <row r="55" spans="1:18" ht="15.75" thickBot="1" x14ac:dyDescent="0.3">
      <c r="D55" s="37"/>
      <c r="E55" t="s">
        <v>60</v>
      </c>
      <c r="G55" s="40">
        <v>442.59</v>
      </c>
      <c r="H55" s="37"/>
      <c r="L55" s="37"/>
    </row>
    <row r="56" spans="1:18" ht="15.75" thickBot="1" x14ac:dyDescent="0.3">
      <c r="A56" t="s">
        <v>44</v>
      </c>
      <c r="B56" s="33"/>
      <c r="D56" s="37"/>
      <c r="H56" s="37"/>
      <c r="L56" s="37"/>
      <c r="M56" t="s">
        <v>236</v>
      </c>
      <c r="N56" s="65">
        <f>'Sem 13'!N35+'Sem 26'!N35+'Sem 40'!N35</f>
        <v>48087.0556</v>
      </c>
    </row>
    <row r="57" spans="1:18" ht="15.75" thickBot="1" x14ac:dyDescent="0.3">
      <c r="A57" t="s">
        <v>45</v>
      </c>
      <c r="B57" s="21"/>
      <c r="M57" t="s">
        <v>209</v>
      </c>
      <c r="N57" s="113">
        <f>'Nouv FRAIS'!G46*_xlfn.ISOWEEKNUM('Sem 40'!L3)</f>
        <v>23804.223076923077</v>
      </c>
    </row>
    <row r="58" spans="1:18" ht="16.5" thickBot="1" x14ac:dyDescent="0.3">
      <c r="B58" s="21"/>
      <c r="E58" t="s">
        <v>65</v>
      </c>
      <c r="G58" s="48">
        <f>SUM(G48:G50)+SUM(G53:G55)</f>
        <v>2924.74</v>
      </c>
      <c r="O58" t="s">
        <v>271</v>
      </c>
    </row>
    <row r="59" spans="1:18" x14ac:dyDescent="0.25">
      <c r="A59" t="s">
        <v>46</v>
      </c>
      <c r="B59" s="21"/>
      <c r="M59" t="s">
        <v>210</v>
      </c>
      <c r="N59" s="113">
        <f>N56-N57</f>
        <v>24282.832523076922</v>
      </c>
      <c r="O59" s="21">
        <f>N59/_xlfn.ISOWEEKNUM($L$3)</f>
        <v>607.07081307692306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theme="7" tint="0.59999389629810485"/>
    <pageSetUpPr fitToPage="1"/>
  </sheetPr>
  <dimension ref="A1:Q59"/>
  <sheetViews>
    <sheetView topLeftCell="A25" workbookViewId="0">
      <selection activeCell="Q32" sqref="Q32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  <col min="17" max="17" width="13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43381</v>
      </c>
      <c r="C3" s="10"/>
      <c r="D3" s="9">
        <v>43382</v>
      </c>
      <c r="E3" s="10"/>
      <c r="F3" s="9">
        <v>43383</v>
      </c>
      <c r="G3" s="10"/>
      <c r="H3" s="9">
        <v>43384</v>
      </c>
      <c r="I3" s="10"/>
      <c r="J3" s="9">
        <v>43385</v>
      </c>
      <c r="K3" s="10"/>
      <c r="L3" s="9">
        <v>43386</v>
      </c>
      <c r="M3" s="10"/>
      <c r="N3" s="9">
        <v>43387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175.7</v>
      </c>
      <c r="E4" s="12"/>
      <c r="F4" s="12"/>
      <c r="G4" s="12"/>
      <c r="H4" s="12">
        <f>582.95-175.7</f>
        <v>407.25000000000006</v>
      </c>
      <c r="I4" s="12">
        <v>617.92999999999995</v>
      </c>
      <c r="J4" s="12"/>
      <c r="K4" s="12"/>
      <c r="L4" s="12"/>
      <c r="M4" s="12"/>
      <c r="N4" s="12"/>
      <c r="O4" s="12">
        <f>B4+D4+F4+H4+J4+L4+N4</f>
        <v>582.95000000000005</v>
      </c>
      <c r="P4" s="12">
        <f>C4+E4+G4+I4+K4+M4</f>
        <v>617.92999999999995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302.25</v>
      </c>
      <c r="I6" s="14"/>
      <c r="J6" s="14"/>
      <c r="K6" s="14"/>
      <c r="L6" s="14"/>
      <c r="M6" s="14"/>
      <c r="N6" s="14"/>
      <c r="O6" s="12">
        <f t="shared" si="0"/>
        <v>302.25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308.95</v>
      </c>
      <c r="G7" s="14"/>
      <c r="H7" s="14"/>
      <c r="I7" s="14"/>
      <c r="J7" s="14">
        <f>473.7-308.95</f>
        <v>164.75</v>
      </c>
      <c r="K7" s="14">
        <v>502.12</v>
      </c>
      <c r="L7" s="14"/>
      <c r="M7" s="14"/>
      <c r="N7" s="14"/>
      <c r="O7" s="12">
        <f t="shared" si="0"/>
        <v>473.7</v>
      </c>
      <c r="P7" s="12">
        <f t="shared" si="1"/>
        <v>502.12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>
        <v>156</v>
      </c>
      <c r="K8" s="14">
        <v>188.76</v>
      </c>
      <c r="L8" s="14"/>
      <c r="M8" s="14"/>
      <c r="N8" s="14"/>
      <c r="O8" s="12">
        <f t="shared" si="0"/>
        <v>156</v>
      </c>
      <c r="P8" s="12">
        <f t="shared" si="1"/>
        <v>188.76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356.45</v>
      </c>
      <c r="I9" s="14">
        <v>374.84</v>
      </c>
      <c r="J9" s="14"/>
      <c r="K9" s="14"/>
      <c r="L9" s="14"/>
      <c r="M9" s="14"/>
      <c r="N9" s="14"/>
      <c r="O9" s="12">
        <f t="shared" si="0"/>
        <v>356.45</v>
      </c>
      <c r="P9" s="12">
        <f t="shared" si="1"/>
        <v>374.84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>
        <v>128.5</v>
      </c>
      <c r="I13" s="14"/>
      <c r="J13" s="14">
        <v>574.1</v>
      </c>
      <c r="K13" s="14"/>
      <c r="L13" s="14"/>
      <c r="M13" s="14"/>
      <c r="N13" s="14"/>
      <c r="O13" s="12">
        <f t="shared" si="0"/>
        <v>702.6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127.6</v>
      </c>
      <c r="K14" s="14">
        <v>135.26</v>
      </c>
      <c r="L14" s="14"/>
      <c r="M14" s="14"/>
      <c r="N14" s="14"/>
      <c r="O14" s="12">
        <f t="shared" si="0"/>
        <v>127.6</v>
      </c>
      <c r="P14" s="12">
        <f t="shared" si="1"/>
        <v>135.26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217.9</v>
      </c>
      <c r="I15" s="14">
        <v>307.08</v>
      </c>
      <c r="J15" s="14">
        <v>48.5</v>
      </c>
      <c r="K15" s="14"/>
      <c r="L15" s="14"/>
      <c r="M15" s="14"/>
      <c r="N15" s="14"/>
      <c r="O15" s="12">
        <f t="shared" si="0"/>
        <v>266.39999999999998</v>
      </c>
      <c r="P15" s="12">
        <f t="shared" si="1"/>
        <v>307.08</v>
      </c>
    </row>
    <row r="16" spans="1:16" ht="18.75" x14ac:dyDescent="0.3">
      <c r="A16" s="19" t="s">
        <v>22</v>
      </c>
      <c r="B16" s="13"/>
      <c r="C16" s="14"/>
      <c r="D16" s="14">
        <v>57.25</v>
      </c>
      <c r="E16" s="14">
        <v>160</v>
      </c>
      <c r="F16" s="14"/>
      <c r="G16" s="14"/>
      <c r="H16" s="14">
        <v>105.75</v>
      </c>
      <c r="I16" s="14">
        <v>110</v>
      </c>
      <c r="J16" s="14"/>
      <c r="K16" s="14"/>
      <c r="L16" s="14"/>
      <c r="M16" s="14"/>
      <c r="N16" s="14"/>
      <c r="O16" s="12">
        <f t="shared" si="0"/>
        <v>163</v>
      </c>
      <c r="P16" s="12">
        <f t="shared" si="1"/>
        <v>270</v>
      </c>
    </row>
    <row r="17" spans="1:17" ht="18.75" x14ac:dyDescent="0.3">
      <c r="A17" s="18" t="s">
        <v>23</v>
      </c>
      <c r="B17" s="13"/>
      <c r="C17" s="14"/>
      <c r="D17" s="14">
        <v>150.44999999999999</v>
      </c>
      <c r="E17" s="14"/>
      <c r="F17" s="14"/>
      <c r="G17" s="14"/>
      <c r="H17" s="14">
        <v>93.4</v>
      </c>
      <c r="I17" s="14"/>
      <c r="J17" s="14"/>
      <c r="K17" s="14"/>
      <c r="L17" s="14"/>
      <c r="M17" s="14"/>
      <c r="N17" s="14"/>
      <c r="O17" s="12">
        <f t="shared" si="0"/>
        <v>243.85</v>
      </c>
      <c r="P17" s="12">
        <f t="shared" si="1"/>
        <v>0</v>
      </c>
    </row>
    <row r="18" spans="1:17" ht="18.75" x14ac:dyDescent="0.3">
      <c r="A18" s="18" t="s">
        <v>24</v>
      </c>
      <c r="B18" s="13"/>
      <c r="C18" s="14"/>
      <c r="D18" s="14"/>
      <c r="E18" s="14"/>
      <c r="F18" s="14">
        <v>139.5</v>
      </c>
      <c r="G18" s="14">
        <v>453.78</v>
      </c>
      <c r="H18" s="14"/>
      <c r="I18" s="14"/>
      <c r="J18" s="14">
        <f>301-139.5</f>
        <v>161.5</v>
      </c>
      <c r="K18" s="14">
        <f>453.78+407.09</f>
        <v>860.86999999999989</v>
      </c>
      <c r="L18" s="14"/>
      <c r="M18" s="14"/>
      <c r="N18" s="14"/>
      <c r="O18" s="12">
        <f t="shared" si="0"/>
        <v>301</v>
      </c>
      <c r="P18" s="12">
        <f t="shared" si="1"/>
        <v>1314.6499999999999</v>
      </c>
    </row>
    <row r="19" spans="1:17" ht="18.75" x14ac:dyDescent="0.3">
      <c r="A19" s="20" t="s">
        <v>287</v>
      </c>
      <c r="B19" s="15"/>
      <c r="C19" s="14"/>
      <c r="D19" s="14">
        <v>96.26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96.26</v>
      </c>
      <c r="P19" s="12">
        <f t="shared" si="1"/>
        <v>0</v>
      </c>
    </row>
    <row r="20" spans="1:17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7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7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7" ht="18.75" x14ac:dyDescent="0.3">
      <c r="A23" s="46" t="s">
        <v>64</v>
      </c>
      <c r="B23" s="16"/>
      <c r="C23" s="17"/>
      <c r="D23" s="17"/>
      <c r="E23" s="17"/>
      <c r="F23" s="17">
        <v>75</v>
      </c>
      <c r="G23" s="17">
        <v>75</v>
      </c>
      <c r="H23" s="17">
        <v>143.5</v>
      </c>
      <c r="I23" s="17">
        <v>143.5</v>
      </c>
      <c r="J23" s="17"/>
      <c r="K23" s="17"/>
      <c r="L23" s="17"/>
      <c r="M23" s="17"/>
      <c r="N23" s="17"/>
      <c r="O23" s="49">
        <f t="shared" si="0"/>
        <v>218.5</v>
      </c>
      <c r="P23" s="49">
        <f t="shared" si="1"/>
        <v>218.5</v>
      </c>
    </row>
    <row r="24" spans="1:17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479.65999999999997</v>
      </c>
      <c r="E24" s="21">
        <f t="shared" si="2"/>
        <v>160</v>
      </c>
      <c r="F24" s="21">
        <f t="shared" si="2"/>
        <v>523.45000000000005</v>
      </c>
      <c r="G24" s="21">
        <f t="shared" si="2"/>
        <v>528.78</v>
      </c>
      <c r="H24" s="21">
        <f t="shared" si="2"/>
        <v>1755.0000000000002</v>
      </c>
      <c r="I24" s="21">
        <f t="shared" si="2"/>
        <v>1553.35</v>
      </c>
      <c r="J24" s="21">
        <f t="shared" si="2"/>
        <v>1232.45</v>
      </c>
      <c r="K24" s="21">
        <f t="shared" si="2"/>
        <v>1687.0099999999998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3990.5600000000004</v>
      </c>
      <c r="P24" s="50">
        <f t="shared" si="2"/>
        <v>3929.1399999999994</v>
      </c>
    </row>
    <row r="25" spans="1:17" ht="15.75" thickBot="1" x14ac:dyDescent="0.3">
      <c r="N25" t="s">
        <v>55</v>
      </c>
      <c r="O25" s="50">
        <f>SUM(B24+D24+F24+H24+J24+L24+N24)</f>
        <v>3990.5600000000004</v>
      </c>
      <c r="P25" s="50">
        <f>SUM(C24+E24+G24+I24+K24+M24)</f>
        <v>3929.14</v>
      </c>
    </row>
    <row r="26" spans="1:17" ht="15.75" thickBot="1" x14ac:dyDescent="0.3">
      <c r="A26" t="s">
        <v>27</v>
      </c>
      <c r="B26" s="22">
        <f>O24</f>
        <v>3990.5600000000004</v>
      </c>
      <c r="D26" s="5" t="s">
        <v>30</v>
      </c>
      <c r="E26" s="47">
        <f>B50*1.5</f>
        <v>3718.3284000000003</v>
      </c>
    </row>
    <row r="27" spans="1:17" x14ac:dyDescent="0.25">
      <c r="A27" t="s">
        <v>28</v>
      </c>
      <c r="B27" s="22">
        <f>P24</f>
        <v>3929.1399999999994</v>
      </c>
    </row>
    <row r="28" spans="1:17" x14ac:dyDescent="0.25">
      <c r="A28" s="3" t="s">
        <v>29</v>
      </c>
    </row>
    <row r="30" spans="1:17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  <c r="P30" s="7" t="s">
        <v>289</v>
      </c>
      <c r="Q30" s="7"/>
    </row>
    <row r="31" spans="1:17" x14ac:dyDescent="0.25">
      <c r="D31" s="37"/>
      <c r="H31" s="37"/>
      <c r="L31" s="37"/>
    </row>
    <row r="32" spans="1:17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3990.5600000000004</v>
      </c>
      <c r="H32" s="37"/>
      <c r="I32" s="26" t="s">
        <v>50</v>
      </c>
      <c r="J32" s="44">
        <f>'Sem 40'!J32+'Sem 41'!F32</f>
        <v>7658.2200000000012</v>
      </c>
      <c r="L32" s="37"/>
      <c r="M32" s="27" t="s">
        <v>50</v>
      </c>
      <c r="N32" s="45">
        <f>J32</f>
        <v>7658.2200000000012</v>
      </c>
      <c r="P32" s="27" t="s">
        <v>50</v>
      </c>
      <c r="Q32" s="45">
        <f>'Sem 40'!Q32+'Sem 41'!F32</f>
        <v>190723.74000000002</v>
      </c>
    </row>
    <row r="33" spans="1:17" x14ac:dyDescent="0.25">
      <c r="A33" t="s">
        <v>33</v>
      </c>
      <c r="B33" s="28">
        <f>IF(C33="","",(C33*1.16)+3.75+10)</f>
        <v>1183.1576</v>
      </c>
      <c r="C33" s="34">
        <v>1008.11</v>
      </c>
      <c r="D33" s="37"/>
      <c r="E33" s="25" t="s">
        <v>51</v>
      </c>
      <c r="F33" s="42">
        <f>B50</f>
        <v>2478.8856000000001</v>
      </c>
      <c r="H33" s="37"/>
      <c r="I33" s="26" t="s">
        <v>51</v>
      </c>
      <c r="J33" s="44">
        <f>'Sem 40'!J33+'Sem 41'!F33</f>
        <v>5132.3816000000006</v>
      </c>
      <c r="L33" s="37"/>
      <c r="M33" s="27" t="s">
        <v>51</v>
      </c>
      <c r="N33" s="45">
        <f>J33</f>
        <v>5132.3816000000006</v>
      </c>
      <c r="P33" s="27" t="s">
        <v>51</v>
      </c>
      <c r="Q33" s="45">
        <f>'Sem 40'!Q33+'Sem 41'!F33</f>
        <v>141125.01</v>
      </c>
    </row>
    <row r="34" spans="1:17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40'!J34+'Sem 41'!F34</f>
        <v>0</v>
      </c>
      <c r="L34" s="37"/>
      <c r="M34" s="27"/>
      <c r="N34" s="45"/>
      <c r="P34" s="27"/>
      <c r="Q34" s="45"/>
    </row>
    <row r="35" spans="1:17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1511.6744000000003</v>
      </c>
      <c r="H35" s="37"/>
      <c r="I35" s="26" t="s">
        <v>52</v>
      </c>
      <c r="J35" s="44">
        <f>'Sem 40'!J35+'Sem 41'!F35</f>
        <v>2525.8384000000005</v>
      </c>
      <c r="L35" s="37"/>
      <c r="M35" s="27" t="s">
        <v>52</v>
      </c>
      <c r="N35" s="45">
        <f>J35</f>
        <v>2525.8384000000005</v>
      </c>
      <c r="P35" s="27" t="s">
        <v>52</v>
      </c>
      <c r="Q35" s="45">
        <f>'Sem 40'!Q35+'Sem 41'!F35</f>
        <v>49598.73</v>
      </c>
    </row>
    <row r="36" spans="1:17" x14ac:dyDescent="0.25">
      <c r="A36" t="s">
        <v>36</v>
      </c>
      <c r="B36" s="31">
        <v>869.52</v>
      </c>
      <c r="D36" s="37"/>
      <c r="E36" s="25" t="s">
        <v>53</v>
      </c>
      <c r="F36" s="43">
        <f>(F32-F33)/F33</f>
        <v>0.60982015466950157</v>
      </c>
      <c r="H36" s="37"/>
      <c r="I36" s="26" t="s">
        <v>53</v>
      </c>
      <c r="J36" s="52">
        <f>(J32-J33)/J33</f>
        <v>0.49213768516355061</v>
      </c>
      <c r="L36" s="37"/>
      <c r="M36" s="27" t="s">
        <v>53</v>
      </c>
      <c r="N36" s="53">
        <f>(N32-N33)/N33</f>
        <v>0.49213768516355061</v>
      </c>
      <c r="P36" s="27" t="s">
        <v>53</v>
      </c>
      <c r="Q36" s="53">
        <f>(Q32-Q33)/Q33</f>
        <v>0.35145244630983558</v>
      </c>
    </row>
    <row r="37" spans="1:17" x14ac:dyDescent="0.25">
      <c r="A37" t="s">
        <v>37</v>
      </c>
      <c r="B37" s="31">
        <v>282</v>
      </c>
      <c r="D37" s="37"/>
      <c r="H37" s="37"/>
      <c r="L37" s="37"/>
    </row>
    <row r="38" spans="1:17" ht="15.75" thickBot="1" x14ac:dyDescent="0.3">
      <c r="A38" t="s">
        <v>38</v>
      </c>
      <c r="B38" s="32"/>
      <c r="D38" s="37"/>
      <c r="H38" s="37"/>
      <c r="L38" s="37"/>
    </row>
    <row r="39" spans="1:17" ht="15.75" thickBot="1" x14ac:dyDescent="0.3">
      <c r="B39" s="21"/>
      <c r="D39" s="37"/>
      <c r="H39" s="37"/>
      <c r="L39" s="37"/>
    </row>
    <row r="40" spans="1:17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7" x14ac:dyDescent="0.25">
      <c r="B41" s="21"/>
      <c r="D41" s="37"/>
      <c r="H41" s="37"/>
      <c r="L41" s="37"/>
      <c r="M41" s="156" t="s">
        <v>218</v>
      </c>
      <c r="N41" s="157">
        <v>24.26</v>
      </c>
      <c r="O41" s="158"/>
    </row>
    <row r="42" spans="1:17" x14ac:dyDescent="0.25">
      <c r="A42" s="2" t="s">
        <v>39</v>
      </c>
      <c r="B42" s="21"/>
      <c r="D42" s="37"/>
      <c r="H42" s="37"/>
      <c r="L42" s="37"/>
      <c r="M42" s="156"/>
      <c r="N42" s="157">
        <v>156</v>
      </c>
      <c r="O42" s="158"/>
    </row>
    <row r="43" spans="1:17" x14ac:dyDescent="0.25">
      <c r="A43" t="s">
        <v>40</v>
      </c>
      <c r="B43" s="21">
        <f>N49</f>
        <v>144.208</v>
      </c>
      <c r="D43" s="37"/>
      <c r="H43" s="37"/>
      <c r="L43" s="37"/>
      <c r="M43" s="156"/>
      <c r="N43" s="157"/>
      <c r="O43" s="158"/>
    </row>
    <row r="44" spans="1:17" x14ac:dyDescent="0.25">
      <c r="A44" s="6"/>
      <c r="B44" s="21"/>
      <c r="D44" s="37"/>
      <c r="H44" s="37"/>
      <c r="L44" s="37"/>
      <c r="M44" s="156"/>
      <c r="N44" s="157"/>
      <c r="O44" s="158"/>
    </row>
    <row r="45" spans="1:17" x14ac:dyDescent="0.25">
      <c r="A45" s="6"/>
      <c r="B45" s="21"/>
      <c r="D45" s="37"/>
      <c r="H45" s="37"/>
      <c r="L45" s="37"/>
      <c r="M45" s="156"/>
      <c r="N45" s="157"/>
      <c r="O45" s="158"/>
    </row>
    <row r="46" spans="1:17" x14ac:dyDescent="0.25">
      <c r="A46" s="6"/>
      <c r="B46" s="21"/>
      <c r="D46" s="37"/>
      <c r="H46" s="37"/>
      <c r="L46" s="37"/>
      <c r="M46" s="156"/>
      <c r="N46" s="157"/>
      <c r="O46" s="158"/>
    </row>
    <row r="47" spans="1:17" x14ac:dyDescent="0.25">
      <c r="A47" s="6"/>
      <c r="B47" s="21"/>
      <c r="D47" s="37"/>
      <c r="H47" s="37"/>
      <c r="L47" s="37"/>
      <c r="M47" s="156"/>
      <c r="N47" s="157"/>
      <c r="O47" s="158"/>
    </row>
    <row r="48" spans="1:17" ht="15.75" x14ac:dyDescent="0.25">
      <c r="B48" s="21"/>
      <c r="D48" s="37"/>
      <c r="E48" t="s">
        <v>56</v>
      </c>
      <c r="G48" s="40">
        <v>1433.8</v>
      </c>
      <c r="H48" s="37"/>
      <c r="I48" s="38" t="s">
        <v>61</v>
      </c>
      <c r="J48" s="38"/>
      <c r="K48" s="39">
        <f>F32</f>
        <v>3990.5600000000004</v>
      </c>
      <c r="L48" s="37"/>
      <c r="M48" s="156" t="s">
        <v>219</v>
      </c>
      <c r="N48" s="157">
        <f>SUM(N41:N47)</f>
        <v>180.26</v>
      </c>
      <c r="O48" s="158"/>
    </row>
    <row r="49" spans="1:15" ht="15.75" thickBot="1" x14ac:dyDescent="0.3">
      <c r="B49" s="21"/>
      <c r="D49" s="37"/>
      <c r="G49" s="40"/>
      <c r="H49" s="37"/>
      <c r="L49" s="37"/>
      <c r="M49" s="156" t="s">
        <v>220</v>
      </c>
      <c r="N49" s="157">
        <f>N48*0.8</f>
        <v>144.208</v>
      </c>
      <c r="O49" s="158"/>
    </row>
    <row r="50" spans="1:15" ht="15.75" thickBot="1" x14ac:dyDescent="0.3">
      <c r="A50" t="s">
        <v>42</v>
      </c>
      <c r="B50" s="33">
        <f>SUM(B33:B48)</f>
        <v>2478.8856000000001</v>
      </c>
      <c r="D50" s="37"/>
      <c r="G50" s="40"/>
      <c r="H50" s="37"/>
      <c r="I50" t="s">
        <v>62</v>
      </c>
      <c r="J50">
        <v>3795.46</v>
      </c>
      <c r="K50" s="41">
        <f>J50/K48</f>
        <v>0.95110961870013222</v>
      </c>
      <c r="L50" s="37"/>
      <c r="M50" s="156" t="s">
        <v>221</v>
      </c>
      <c r="N50" s="157">
        <f>N48-N49</f>
        <v>36.051999999999992</v>
      </c>
      <c r="O50" s="158"/>
    </row>
    <row r="51" spans="1:15" ht="15.75" x14ac:dyDescent="0.25">
      <c r="B51" s="21"/>
      <c r="D51" s="37"/>
      <c r="F51" t="s">
        <v>57</v>
      </c>
      <c r="G51" s="39">
        <f>SUM(G48:G50)</f>
        <v>1433.8</v>
      </c>
      <c r="H51" s="37"/>
      <c r="I51" t="s">
        <v>63</v>
      </c>
      <c r="J51" s="22">
        <f>K48-J50</f>
        <v>195.10000000000036</v>
      </c>
      <c r="K51" s="41">
        <f>J51/K48</f>
        <v>4.8890381299867773E-2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928.98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45.12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335.74</v>
      </c>
      <c r="H55" s="37"/>
      <c r="L55" s="37"/>
      <c r="M55" t="s">
        <v>236</v>
      </c>
      <c r="N55" s="65">
        <f>'Sem 13'!N35+'Sem 26'!N35+'Sem 41'!N35</f>
        <v>49598.73</v>
      </c>
    </row>
    <row r="56" spans="1:15" ht="15.75" thickBot="1" x14ac:dyDescent="0.3">
      <c r="A56" t="s">
        <v>44</v>
      </c>
      <c r="B56" s="33"/>
      <c r="D56" s="37"/>
      <c r="H56" s="37"/>
      <c r="L56" s="37"/>
      <c r="M56" t="s">
        <v>209</v>
      </c>
      <c r="N56" s="113">
        <f>'Nouv FRAIS'!G46*_xlfn.ISOWEEKNUM('Sem 41'!L3)</f>
        <v>24399.328653846154</v>
      </c>
    </row>
    <row r="57" spans="1:15" ht="15.75" thickBot="1" x14ac:dyDescent="0.3">
      <c r="A57" t="s">
        <v>45</v>
      </c>
      <c r="B57" s="21"/>
      <c r="O57" t="s">
        <v>271</v>
      </c>
    </row>
    <row r="58" spans="1:15" ht="16.5" thickBot="1" x14ac:dyDescent="0.3">
      <c r="B58" s="21"/>
      <c r="E58" t="s">
        <v>65</v>
      </c>
      <c r="G58" s="48">
        <f>SUM(G48:G50)+SUM(G53:G55)</f>
        <v>2698.52</v>
      </c>
      <c r="M58" t="s">
        <v>210</v>
      </c>
      <c r="N58" s="113">
        <f>N55-N56</f>
        <v>25199.401346153849</v>
      </c>
      <c r="O58" s="21">
        <f>N58/_xlfn.ISOWEEKNUM($L$3)</f>
        <v>614.61954502814262</v>
      </c>
    </row>
    <row r="59" spans="1:15" x14ac:dyDescent="0.25">
      <c r="A59" t="s">
        <v>46</v>
      </c>
      <c r="B59" s="21">
        <f>B57-B56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theme="7" tint="0.59999389629810485"/>
    <pageSetUpPr fitToPage="1"/>
  </sheetPr>
  <dimension ref="A1:P61"/>
  <sheetViews>
    <sheetView workbookViewId="0">
      <selection activeCell="E57" sqref="E57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43388</v>
      </c>
      <c r="C3" s="10"/>
      <c r="D3" s="9">
        <v>43389</v>
      </c>
      <c r="E3" s="10"/>
      <c r="F3" s="9">
        <v>43390</v>
      </c>
      <c r="G3" s="10"/>
      <c r="H3" s="9">
        <v>43391</v>
      </c>
      <c r="I3" s="10"/>
      <c r="J3" s="9">
        <v>43392</v>
      </c>
      <c r="K3" s="10"/>
      <c r="L3" s="9">
        <v>43393</v>
      </c>
      <c r="M3" s="10"/>
      <c r="N3" s="9">
        <v>43394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52</v>
      </c>
      <c r="E4" s="12"/>
      <c r="F4" s="12"/>
      <c r="G4" s="12"/>
      <c r="H4" s="12">
        <f>253-52</f>
        <v>201</v>
      </c>
      <c r="I4" s="12">
        <f>24.8+268.18</f>
        <v>292.98</v>
      </c>
      <c r="J4" s="12"/>
      <c r="K4" s="12"/>
      <c r="L4" s="12"/>
      <c r="M4" s="12"/>
      <c r="N4" s="12"/>
      <c r="O4" s="12">
        <f>B4+D4+F4+H4+J4+L4+N4</f>
        <v>253</v>
      </c>
      <c r="P4" s="12">
        <f>C4+E4+G4+I4+K4+M4</f>
        <v>292.98</v>
      </c>
    </row>
    <row r="5" spans="1:16" ht="18.75" x14ac:dyDescent="0.3">
      <c r="A5" s="18" t="s">
        <v>11</v>
      </c>
      <c r="B5" s="13"/>
      <c r="C5" s="14"/>
      <c r="D5" s="14">
        <v>98.3</v>
      </c>
      <c r="E5" s="14"/>
      <c r="F5" s="14"/>
      <c r="G5" s="14"/>
      <c r="H5" s="14">
        <v>57</v>
      </c>
      <c r="I5" s="14"/>
      <c r="J5" s="14"/>
      <c r="K5" s="14"/>
      <c r="L5" s="14"/>
      <c r="M5" s="14"/>
      <c r="N5" s="14"/>
      <c r="O5" s="12">
        <f t="shared" ref="O5:O23" si="0">B5+D5+F5+H5+J5+L5+N5</f>
        <v>155.30000000000001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353.95</v>
      </c>
      <c r="I6" s="14">
        <f>190.87+100</f>
        <v>290.87</v>
      </c>
      <c r="J6" s="14"/>
      <c r="K6" s="14"/>
      <c r="L6" s="14"/>
      <c r="M6" s="14"/>
      <c r="N6" s="14"/>
      <c r="O6" s="12">
        <f t="shared" si="0"/>
        <v>353.95</v>
      </c>
      <c r="P6" s="12">
        <f t="shared" si="1"/>
        <v>290.87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248.05</v>
      </c>
      <c r="G7" s="14"/>
      <c r="H7" s="14"/>
      <c r="I7" s="14"/>
      <c r="J7" s="14">
        <f>382.75-248.05</f>
        <v>134.69999999999999</v>
      </c>
      <c r="K7" s="14">
        <v>405.72</v>
      </c>
      <c r="L7" s="14"/>
      <c r="M7" s="14"/>
      <c r="N7" s="14"/>
      <c r="O7" s="12">
        <f t="shared" si="0"/>
        <v>382.75</v>
      </c>
      <c r="P7" s="12">
        <f t="shared" si="1"/>
        <v>405.72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139.69999999999999</v>
      </c>
      <c r="I9" s="14">
        <v>148.08000000000001</v>
      </c>
      <c r="J9" s="14"/>
      <c r="K9" s="14"/>
      <c r="L9" s="14"/>
      <c r="M9" s="14"/>
      <c r="N9" s="14"/>
      <c r="O9" s="12">
        <f t="shared" si="0"/>
        <v>139.69999999999999</v>
      </c>
      <c r="P9" s="12">
        <f t="shared" si="1"/>
        <v>148.08000000000001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374.55</v>
      </c>
      <c r="K13" s="14"/>
      <c r="L13" s="14"/>
      <c r="M13" s="14"/>
      <c r="N13" s="14"/>
      <c r="O13" s="12">
        <f t="shared" si="0"/>
        <v>374.55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234.1</v>
      </c>
      <c r="I15" s="14">
        <v>150</v>
      </c>
      <c r="J15" s="14"/>
      <c r="K15" s="14"/>
      <c r="L15" s="14"/>
      <c r="M15" s="14"/>
      <c r="N15" s="14"/>
      <c r="O15" s="12">
        <f t="shared" si="0"/>
        <v>234.1</v>
      </c>
      <c r="P15" s="12">
        <f t="shared" si="1"/>
        <v>150</v>
      </c>
    </row>
    <row r="16" spans="1:16" ht="18.75" x14ac:dyDescent="0.3">
      <c r="A16" s="19" t="s">
        <v>22</v>
      </c>
      <c r="B16" s="13"/>
      <c r="C16" s="14"/>
      <c r="D16" s="14">
        <v>208.92</v>
      </c>
      <c r="E16" s="14">
        <v>172.72</v>
      </c>
      <c r="F16" s="14"/>
      <c r="G16" s="14"/>
      <c r="H16" s="14">
        <v>93.5</v>
      </c>
      <c r="I16" s="14"/>
      <c r="J16" s="14"/>
      <c r="K16" s="14"/>
      <c r="L16" s="14"/>
      <c r="M16" s="14"/>
      <c r="N16" s="14"/>
      <c r="O16" s="12">
        <f t="shared" si="0"/>
        <v>302.41999999999996</v>
      </c>
      <c r="P16" s="12">
        <f t="shared" si="1"/>
        <v>172.72</v>
      </c>
    </row>
    <row r="17" spans="1:16" ht="18.75" x14ac:dyDescent="0.3">
      <c r="A17" s="18" t="s">
        <v>23</v>
      </c>
      <c r="B17" s="13"/>
      <c r="C17" s="14"/>
      <c r="D17" s="14">
        <v>137.4</v>
      </c>
      <c r="E17" s="14"/>
      <c r="F17" s="14"/>
      <c r="G17" s="14"/>
      <c r="H17" s="14">
        <v>260.3</v>
      </c>
      <c r="I17" s="14"/>
      <c r="J17" s="14"/>
      <c r="K17" s="14"/>
      <c r="L17" s="14"/>
      <c r="M17" s="14"/>
      <c r="N17" s="14"/>
      <c r="O17" s="12">
        <f t="shared" si="0"/>
        <v>397.70000000000005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95.7</v>
      </c>
      <c r="G18" s="14"/>
      <c r="H18" s="14"/>
      <c r="I18" s="14"/>
      <c r="J18" s="14">
        <f>475-95.7+131.75</f>
        <v>511.05</v>
      </c>
      <c r="K18" s="14"/>
      <c r="L18" s="14"/>
      <c r="M18" s="14"/>
      <c r="N18" s="14"/>
      <c r="O18" s="12">
        <f t="shared" si="0"/>
        <v>606.75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12</v>
      </c>
      <c r="G23" s="17">
        <v>12</v>
      </c>
      <c r="H23" s="17">
        <v>75</v>
      </c>
      <c r="I23" s="17">
        <v>75</v>
      </c>
      <c r="J23" s="17">
        <v>87.6</v>
      </c>
      <c r="K23" s="17">
        <v>87.6</v>
      </c>
      <c r="L23" s="17"/>
      <c r="M23" s="17"/>
      <c r="N23" s="17"/>
      <c r="O23" s="49">
        <f t="shared" si="0"/>
        <v>174.6</v>
      </c>
      <c r="P23" s="49">
        <f t="shared" si="1"/>
        <v>174.6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496.62</v>
      </c>
      <c r="E24" s="21">
        <f t="shared" si="2"/>
        <v>172.72</v>
      </c>
      <c r="F24" s="21">
        <f t="shared" si="2"/>
        <v>355.75</v>
      </c>
      <c r="G24" s="21">
        <f t="shared" si="2"/>
        <v>12</v>
      </c>
      <c r="H24" s="21">
        <f t="shared" si="2"/>
        <v>1414.55</v>
      </c>
      <c r="I24" s="21">
        <f t="shared" si="2"/>
        <v>956.93000000000006</v>
      </c>
      <c r="J24" s="21">
        <f t="shared" si="2"/>
        <v>1107.8999999999999</v>
      </c>
      <c r="K24" s="21">
        <f t="shared" si="2"/>
        <v>493.32000000000005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3374.82</v>
      </c>
      <c r="P24" s="50">
        <f t="shared" si="2"/>
        <v>1634.97</v>
      </c>
    </row>
    <row r="25" spans="1:16" ht="15.75" thickBot="1" x14ac:dyDescent="0.3">
      <c r="N25" t="s">
        <v>55</v>
      </c>
      <c r="O25" s="50">
        <f>SUM(B24+D24+F24+H24+J24+L24+N24)</f>
        <v>3374.8199999999997</v>
      </c>
      <c r="P25" s="50">
        <f>SUM(C24+E24+G24+I24+K24+M24)</f>
        <v>1634.9700000000003</v>
      </c>
    </row>
    <row r="26" spans="1:16" ht="15.75" thickBot="1" x14ac:dyDescent="0.3">
      <c r="A26" t="s">
        <v>27</v>
      </c>
      <c r="B26" s="22">
        <f>O24</f>
        <v>3374.82</v>
      </c>
      <c r="D26" s="5" t="s">
        <v>30</v>
      </c>
      <c r="E26" s="47">
        <f>B50*1.5</f>
        <v>4012.2965999999997</v>
      </c>
    </row>
    <row r="27" spans="1:16" x14ac:dyDescent="0.25">
      <c r="A27" t="s">
        <v>28</v>
      </c>
      <c r="B27" s="22">
        <f>P24</f>
        <v>1634.97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3374.82</v>
      </c>
      <c r="H32" s="37"/>
      <c r="I32" s="26" t="s">
        <v>50</v>
      </c>
      <c r="J32" s="44">
        <f>'Sem 41'!J32+'Sem 42'!F32</f>
        <v>11033.04</v>
      </c>
      <c r="L32" s="37"/>
      <c r="M32" s="27" t="s">
        <v>50</v>
      </c>
      <c r="N32" s="75">
        <f>J32</f>
        <v>11033.04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2674.8643999999999</v>
      </c>
      <c r="H33" s="37"/>
      <c r="I33" s="26" t="s">
        <v>51</v>
      </c>
      <c r="J33" s="44">
        <f>'Sem 41'!J33+'Sem 42'!F33</f>
        <v>7807.246000000001</v>
      </c>
      <c r="L33" s="37"/>
      <c r="M33" s="27" t="s">
        <v>51</v>
      </c>
      <c r="N33" s="45">
        <f>J33</f>
        <v>7807.246000000001</v>
      </c>
    </row>
    <row r="34" spans="1:15" x14ac:dyDescent="0.25">
      <c r="A34" t="s">
        <v>34</v>
      </c>
      <c r="B34" s="29">
        <f>IF(C34="","",(C34*1.16)+3.75+10)</f>
        <v>864.88839999999993</v>
      </c>
      <c r="C34" s="35">
        <v>733.74</v>
      </c>
      <c r="D34" s="37"/>
      <c r="E34" s="25"/>
      <c r="F34" s="25"/>
      <c r="H34" s="37"/>
      <c r="I34" s="26"/>
      <c r="J34" s="44">
        <f>'Sem 41'!J34+'Sem 42'!F34</f>
        <v>0</v>
      </c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699.95560000000023</v>
      </c>
      <c r="H35" s="37"/>
      <c r="I35" s="26" t="s">
        <v>52</v>
      </c>
      <c r="J35" s="44">
        <f>'Sem 41'!J35+'Sem 42'!F35</f>
        <v>3225.7940000000008</v>
      </c>
      <c r="L35" s="37"/>
      <c r="M35" s="27" t="s">
        <v>52</v>
      </c>
      <c r="N35" s="45">
        <f>J35</f>
        <v>3225.7940000000008</v>
      </c>
    </row>
    <row r="36" spans="1:15" x14ac:dyDescent="0.25">
      <c r="A36" t="s">
        <v>36</v>
      </c>
      <c r="B36" s="31">
        <v>1514.72</v>
      </c>
      <c r="D36" s="37"/>
      <c r="E36" s="25" t="s">
        <v>53</v>
      </c>
      <c r="F36" s="43">
        <f>(F32-F33)/F33</f>
        <v>0.26167890977950142</v>
      </c>
      <c r="H36" s="37"/>
      <c r="I36" s="26" t="s">
        <v>53</v>
      </c>
      <c r="J36" s="52">
        <f>(J32-J33)/J33</f>
        <v>0.4131795001720196</v>
      </c>
      <c r="L36" s="37"/>
      <c r="M36" s="27" t="s">
        <v>53</v>
      </c>
      <c r="N36" s="53">
        <f>(N32-N33)/N33</f>
        <v>0.4131795001720196</v>
      </c>
    </row>
    <row r="37" spans="1:15" x14ac:dyDescent="0.25">
      <c r="A37" t="s">
        <v>37</v>
      </c>
      <c r="B37" s="31">
        <v>127.2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E38" s="120" t="s">
        <v>298</v>
      </c>
      <c r="H38" s="37"/>
      <c r="L38" s="37"/>
    </row>
    <row r="39" spans="1:15" ht="15.75" thickBot="1" x14ac:dyDescent="0.3">
      <c r="B39" s="21"/>
      <c r="D39" s="37"/>
      <c r="E39" s="25" t="s">
        <v>50</v>
      </c>
      <c r="F39" s="42">
        <f>F32-N48</f>
        <v>3164.75</v>
      </c>
      <c r="H39" s="37"/>
      <c r="L39" s="37"/>
    </row>
    <row r="40" spans="1:15" x14ac:dyDescent="0.25">
      <c r="B40" s="21"/>
      <c r="D40" s="37"/>
      <c r="E40" s="25" t="s">
        <v>51</v>
      </c>
      <c r="F40" s="42">
        <f>F33-N49</f>
        <v>2506.8083999999999</v>
      </c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E41" s="25"/>
      <c r="F41" s="25"/>
      <c r="H41" s="37"/>
      <c r="L41" s="37"/>
      <c r="M41" s="156" t="s">
        <v>218</v>
      </c>
      <c r="N41" s="157">
        <v>78.319999999999993</v>
      </c>
      <c r="O41" s="158"/>
    </row>
    <row r="42" spans="1:15" x14ac:dyDescent="0.25">
      <c r="A42" s="2" t="s">
        <v>39</v>
      </c>
      <c r="B42" s="21"/>
      <c r="D42" s="37"/>
      <c r="E42" s="25" t="s">
        <v>52</v>
      </c>
      <c r="F42" s="42">
        <f>F39-F40</f>
        <v>657.94160000000011</v>
      </c>
      <c r="H42" s="37"/>
      <c r="L42" s="37"/>
      <c r="M42" s="156"/>
      <c r="N42" s="157">
        <v>131.75</v>
      </c>
      <c r="O42" s="158"/>
    </row>
    <row r="43" spans="1:15" x14ac:dyDescent="0.25">
      <c r="A43" t="s">
        <v>40</v>
      </c>
      <c r="B43" s="21">
        <f>N49</f>
        <v>168.05600000000001</v>
      </c>
      <c r="D43" s="37"/>
      <c r="E43" s="25" t="s">
        <v>53</v>
      </c>
      <c r="F43" s="43">
        <f>(F39-F40)/F40</f>
        <v>0.26246186186387443</v>
      </c>
      <c r="H43" s="37"/>
      <c r="L43" s="37"/>
      <c r="M43" s="156"/>
      <c r="N43" s="157"/>
      <c r="O43" s="158"/>
    </row>
    <row r="44" spans="1:15" x14ac:dyDescent="0.25">
      <c r="A44" s="6"/>
      <c r="B44" s="21"/>
      <c r="D44" s="37"/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F45" s="160"/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3374.82</v>
      </c>
      <c r="L48" s="37"/>
      <c r="M48" s="156" t="s">
        <v>219</v>
      </c>
      <c r="N48" s="157">
        <f>SUM(N41:N47)</f>
        <v>210.07</v>
      </c>
      <c r="O48" s="158"/>
    </row>
    <row r="49" spans="1:15" ht="15.75" thickBot="1" x14ac:dyDescent="0.3">
      <c r="B49" s="21"/>
      <c r="D49" s="37"/>
      <c r="G49" s="40">
        <v>817.57</v>
      </c>
      <c r="H49" s="37"/>
      <c r="L49" s="37"/>
      <c r="M49" s="156" t="s">
        <v>220</v>
      </c>
      <c r="N49" s="157">
        <f>N48*0.8</f>
        <v>168.05600000000001</v>
      </c>
      <c r="O49" s="158"/>
    </row>
    <row r="50" spans="1:15" ht="15.75" thickBot="1" x14ac:dyDescent="0.3">
      <c r="A50" t="s">
        <v>42</v>
      </c>
      <c r="B50" s="33">
        <f>SUM(B33:B48)</f>
        <v>2674.8643999999999</v>
      </c>
      <c r="D50" s="37"/>
      <c r="G50" s="40"/>
      <c r="H50" s="37"/>
      <c r="I50" t="s">
        <v>62</v>
      </c>
      <c r="J50" s="160">
        <f>K48-O23</f>
        <v>3200.2200000000003</v>
      </c>
      <c r="K50" s="41">
        <f>J50/K48</f>
        <v>0.94826390740839517</v>
      </c>
      <c r="L50" s="37"/>
      <c r="M50" s="156" t="s">
        <v>221</v>
      </c>
      <c r="N50" s="157">
        <f>N48-N49</f>
        <v>42.013999999999982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174.59999999999991</v>
      </c>
      <c r="K51" s="41">
        <f>J51/K48</f>
        <v>5.1736092591604853E-2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1649.87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20.352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143.75</v>
      </c>
      <c r="H55" s="37"/>
      <c r="L55" s="37"/>
    </row>
    <row r="56" spans="1:15" ht="15.75" thickBot="1" x14ac:dyDescent="0.3">
      <c r="A56" t="s">
        <v>44</v>
      </c>
      <c r="B56" s="33">
        <v>6368.32</v>
      </c>
      <c r="D56" s="37"/>
      <c r="H56" s="37"/>
      <c r="L56" s="37"/>
    </row>
    <row r="57" spans="1:15" ht="15.75" thickBot="1" x14ac:dyDescent="0.3">
      <c r="A57" t="s">
        <v>45</v>
      </c>
      <c r="B57" s="21"/>
    </row>
    <row r="58" spans="1:15" ht="16.5" thickBot="1" x14ac:dyDescent="0.3">
      <c r="B58" s="21"/>
      <c r="E58" t="s">
        <v>65</v>
      </c>
      <c r="G58" s="48">
        <f>SUM(G48:G50)+SUM(G53:G55)</f>
        <v>2611.19</v>
      </c>
    </row>
    <row r="59" spans="1:15" x14ac:dyDescent="0.25">
      <c r="A59" t="s">
        <v>46</v>
      </c>
      <c r="B59" s="21"/>
    </row>
    <row r="61" spans="1:15" x14ac:dyDescent="0.25">
      <c r="K61" t="s">
        <v>299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theme="7" tint="0.59999389629810485"/>
    <pageSetUpPr fitToPage="1"/>
  </sheetPr>
  <dimension ref="A1:S59"/>
  <sheetViews>
    <sheetView topLeftCell="A31" workbookViewId="0">
      <selection activeCell="E38" sqref="E38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7" max="17" width="13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43395</v>
      </c>
      <c r="C3" s="10"/>
      <c r="D3" s="9">
        <v>43396</v>
      </c>
      <c r="E3" s="10"/>
      <c r="F3" s="9">
        <v>43397</v>
      </c>
      <c r="G3" s="10"/>
      <c r="H3" s="9">
        <v>43398</v>
      </c>
      <c r="I3" s="10"/>
      <c r="J3" s="9">
        <v>43399</v>
      </c>
      <c r="K3" s="10"/>
      <c r="L3" s="9">
        <v>43400</v>
      </c>
      <c r="M3" s="10"/>
      <c r="N3" s="9">
        <v>43401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358.5</v>
      </c>
      <c r="E4" s="12"/>
      <c r="F4" s="12"/>
      <c r="G4" s="12"/>
      <c r="H4" s="12">
        <f>641.9-358.5</f>
        <v>283.39999999999998</v>
      </c>
      <c r="I4" s="12">
        <v>680.41</v>
      </c>
      <c r="J4" s="12"/>
      <c r="K4" s="12"/>
      <c r="L4" s="12"/>
      <c r="M4" s="12"/>
      <c r="N4" s="12"/>
      <c r="O4" s="12">
        <f>B4+D4+F4+H4+J4+L4+N4</f>
        <v>641.9</v>
      </c>
      <c r="P4" s="12">
        <f>C4+E4+G4+I4+K4+M4</f>
        <v>680.41</v>
      </c>
    </row>
    <row r="5" spans="1:16" ht="18.75" x14ac:dyDescent="0.3">
      <c r="A5" s="18" t="s">
        <v>11</v>
      </c>
      <c r="B5" s="13"/>
      <c r="C5" s="14"/>
      <c r="D5" s="14">
        <v>48</v>
      </c>
      <c r="E5" s="14"/>
      <c r="F5" s="14"/>
      <c r="G5" s="14"/>
      <c r="H5" s="14">
        <v>60.75</v>
      </c>
      <c r="I5" s="14"/>
      <c r="J5" s="14"/>
      <c r="K5" s="14"/>
      <c r="L5" s="14"/>
      <c r="M5" s="14"/>
      <c r="N5" s="14"/>
      <c r="O5" s="12">
        <f t="shared" ref="O5:O23" si="0">B5+D5+F5+H5+J5+L5+N5</f>
        <v>108.75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>
        <v>190</v>
      </c>
      <c r="C6" s="14">
        <v>400</v>
      </c>
      <c r="D6" s="14">
        <v>181.7</v>
      </c>
      <c r="E6" s="14"/>
      <c r="F6" s="14"/>
      <c r="G6" s="14"/>
      <c r="H6" s="14">
        <v>435.5</v>
      </c>
      <c r="I6" s="14">
        <v>300</v>
      </c>
      <c r="J6" s="14"/>
      <c r="K6" s="14"/>
      <c r="L6" s="14"/>
      <c r="M6" s="14"/>
      <c r="N6" s="14"/>
      <c r="O6" s="12">
        <f t="shared" si="0"/>
        <v>807.2</v>
      </c>
      <c r="P6" s="12">
        <f t="shared" si="1"/>
        <v>700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1026.55</v>
      </c>
      <c r="K7" s="14">
        <v>1088.1400000000001</v>
      </c>
      <c r="L7" s="14"/>
      <c r="M7" s="14"/>
      <c r="N7" s="14"/>
      <c r="O7" s="12">
        <f t="shared" si="0"/>
        <v>1026.55</v>
      </c>
      <c r="P7" s="12">
        <f t="shared" si="1"/>
        <v>1088.1400000000001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>
        <v>337.85</v>
      </c>
      <c r="K8" s="14"/>
      <c r="L8" s="14"/>
      <c r="M8" s="14"/>
      <c r="N8" s="14"/>
      <c r="O8" s="12">
        <f t="shared" si="0"/>
        <v>337.85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289.39999999999998</v>
      </c>
      <c r="I9" s="14">
        <v>306.76</v>
      </c>
      <c r="J9" s="14"/>
      <c r="K9" s="14"/>
      <c r="L9" s="14"/>
      <c r="M9" s="14"/>
      <c r="N9" s="14"/>
      <c r="O9" s="12">
        <f t="shared" si="0"/>
        <v>289.39999999999998</v>
      </c>
      <c r="P9" s="12">
        <f t="shared" si="1"/>
        <v>306.76</v>
      </c>
    </row>
    <row r="10" spans="1:16" ht="18.75" x14ac:dyDescent="0.3">
      <c r="A10" s="69" t="s">
        <v>16</v>
      </c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>
        <f t="shared" si="0"/>
        <v>0</v>
      </c>
      <c r="P10" s="72">
        <f t="shared" si="1"/>
        <v>0</v>
      </c>
    </row>
    <row r="11" spans="1:16" ht="18.75" x14ac:dyDescent="0.3">
      <c r="A11" s="69" t="s">
        <v>17</v>
      </c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2">
        <f t="shared" si="0"/>
        <v>0</v>
      </c>
      <c r="P11" s="7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315.35000000000002</v>
      </c>
      <c r="K13" s="14"/>
      <c r="L13" s="14">
        <v>403</v>
      </c>
      <c r="M13" s="14"/>
      <c r="N13" s="14"/>
      <c r="O13" s="12">
        <f t="shared" si="0"/>
        <v>718.35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149.1</v>
      </c>
      <c r="K14" s="14"/>
      <c r="L14" s="14"/>
      <c r="M14" s="14"/>
      <c r="N14" s="14"/>
      <c r="O14" s="12">
        <f t="shared" si="0"/>
        <v>149.1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224</v>
      </c>
      <c r="E15" s="14">
        <v>150</v>
      </c>
      <c r="F15" s="14"/>
      <c r="G15" s="14"/>
      <c r="H15" s="14">
        <v>122.4</v>
      </c>
      <c r="I15" s="14"/>
      <c r="J15" s="14">
        <v>116</v>
      </c>
      <c r="K15" s="14"/>
      <c r="L15" s="14"/>
      <c r="M15" s="14"/>
      <c r="N15" s="14"/>
      <c r="O15" s="12">
        <f t="shared" si="0"/>
        <v>462.4</v>
      </c>
      <c r="P15" s="12">
        <f t="shared" si="1"/>
        <v>150</v>
      </c>
    </row>
    <row r="16" spans="1:16" ht="18.75" x14ac:dyDescent="0.3">
      <c r="A16" s="19" t="s">
        <v>22</v>
      </c>
      <c r="B16" s="13"/>
      <c r="C16" s="14"/>
      <c r="D16" s="14">
        <v>102.15</v>
      </c>
      <c r="E16" s="14">
        <v>237.55</v>
      </c>
      <c r="F16" s="14"/>
      <c r="G16" s="14"/>
      <c r="H16" s="14">
        <v>551.37</v>
      </c>
      <c r="I16" s="14"/>
      <c r="J16" s="14"/>
      <c r="K16" s="14"/>
      <c r="L16" s="14"/>
      <c r="M16" s="14"/>
      <c r="N16" s="14"/>
      <c r="O16" s="12">
        <f t="shared" si="0"/>
        <v>653.52</v>
      </c>
      <c r="P16" s="12">
        <f t="shared" si="1"/>
        <v>237.55</v>
      </c>
    </row>
    <row r="17" spans="1:17" ht="18.75" x14ac:dyDescent="0.3">
      <c r="A17" s="18" t="s">
        <v>23</v>
      </c>
      <c r="B17" s="13"/>
      <c r="C17" s="14"/>
      <c r="D17" s="14">
        <v>191</v>
      </c>
      <c r="E17" s="14"/>
      <c r="F17" s="14"/>
      <c r="G17" s="14"/>
      <c r="H17" s="14">
        <v>341.9</v>
      </c>
      <c r="I17" s="14"/>
      <c r="J17" s="14"/>
      <c r="K17" s="14"/>
      <c r="L17" s="14"/>
      <c r="M17" s="14"/>
      <c r="N17" s="14"/>
      <c r="O17" s="12">
        <f t="shared" si="0"/>
        <v>532.9</v>
      </c>
      <c r="P17" s="12">
        <f t="shared" si="1"/>
        <v>0</v>
      </c>
    </row>
    <row r="18" spans="1:17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>
        <v>1393</v>
      </c>
      <c r="K18" s="14"/>
      <c r="L18" s="14"/>
      <c r="M18" s="14"/>
      <c r="N18" s="14"/>
      <c r="O18" s="12">
        <f t="shared" si="0"/>
        <v>1393</v>
      </c>
      <c r="P18" s="12">
        <f t="shared" si="1"/>
        <v>0</v>
      </c>
    </row>
    <row r="19" spans="1:17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7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7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7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7" ht="18.75" x14ac:dyDescent="0.3">
      <c r="A23" s="46" t="s">
        <v>64</v>
      </c>
      <c r="B23" s="16"/>
      <c r="C23" s="17"/>
      <c r="D23" s="17">
        <v>14</v>
      </c>
      <c r="E23" s="17">
        <v>14</v>
      </c>
      <c r="F23" s="17">
        <v>95</v>
      </c>
      <c r="G23" s="17">
        <v>95</v>
      </c>
      <c r="H23" s="17">
        <v>192.6</v>
      </c>
      <c r="I23" s="17">
        <v>192.6</v>
      </c>
      <c r="J23" s="17">
        <v>30</v>
      </c>
      <c r="K23" s="17">
        <v>30</v>
      </c>
      <c r="L23" s="17"/>
      <c r="M23" s="17"/>
      <c r="N23" s="17"/>
      <c r="O23" s="49">
        <f t="shared" si="0"/>
        <v>331.6</v>
      </c>
      <c r="P23" s="49">
        <f t="shared" si="1"/>
        <v>331.6</v>
      </c>
    </row>
    <row r="24" spans="1:17" x14ac:dyDescent="0.25">
      <c r="A24" t="s">
        <v>54</v>
      </c>
      <c r="B24" s="21">
        <f>SUM(B4:B23)</f>
        <v>190</v>
      </c>
      <c r="C24" s="21">
        <f t="shared" ref="C24:P24" si="2">SUM(C4:C23)</f>
        <v>400</v>
      </c>
      <c r="D24" s="21">
        <f t="shared" si="2"/>
        <v>1119.3499999999999</v>
      </c>
      <c r="E24" s="21">
        <f t="shared" si="2"/>
        <v>401.55</v>
      </c>
      <c r="F24" s="21">
        <f t="shared" si="2"/>
        <v>95</v>
      </c>
      <c r="G24" s="21">
        <f t="shared" si="2"/>
        <v>95</v>
      </c>
      <c r="H24" s="21">
        <f t="shared" si="2"/>
        <v>2277.3200000000002</v>
      </c>
      <c r="I24" s="21">
        <f t="shared" si="2"/>
        <v>1479.77</v>
      </c>
      <c r="J24" s="21">
        <f t="shared" si="2"/>
        <v>3367.85</v>
      </c>
      <c r="K24" s="21">
        <f t="shared" si="2"/>
        <v>1118.1400000000001</v>
      </c>
      <c r="L24" s="21">
        <f t="shared" si="2"/>
        <v>403</v>
      </c>
      <c r="M24" s="21">
        <f t="shared" si="2"/>
        <v>0</v>
      </c>
      <c r="N24" s="21">
        <f t="shared" si="2"/>
        <v>0</v>
      </c>
      <c r="O24" s="50">
        <f t="shared" si="2"/>
        <v>7452.5199999999986</v>
      </c>
      <c r="P24" s="50">
        <f t="shared" si="2"/>
        <v>3494.4600000000005</v>
      </c>
    </row>
    <row r="25" spans="1:17" ht="15.75" thickBot="1" x14ac:dyDescent="0.3">
      <c r="N25" t="s">
        <v>55</v>
      </c>
      <c r="O25" s="50">
        <f>SUM(B24+D24+F24+H24+J24+L24+N24)</f>
        <v>7452.52</v>
      </c>
      <c r="P25" s="50">
        <f>SUM(C24+E24+G24+I24+K24+M24)</f>
        <v>3494.46</v>
      </c>
    </row>
    <row r="26" spans="1:17" ht="15.75" thickBot="1" x14ac:dyDescent="0.3">
      <c r="A26" t="s">
        <v>27</v>
      </c>
      <c r="B26" s="22">
        <f>O24</f>
        <v>7452.5199999999986</v>
      </c>
      <c r="D26" s="5" t="s">
        <v>30</v>
      </c>
      <c r="E26" s="47">
        <f>B50*1.5</f>
        <v>10170.701999999997</v>
      </c>
    </row>
    <row r="27" spans="1:17" x14ac:dyDescent="0.25">
      <c r="A27" t="s">
        <v>28</v>
      </c>
      <c r="B27" s="22">
        <f>P24</f>
        <v>3494.4600000000005</v>
      </c>
    </row>
    <row r="28" spans="1:17" x14ac:dyDescent="0.25">
      <c r="A28" s="3" t="s">
        <v>29</v>
      </c>
    </row>
    <row r="30" spans="1:17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  <c r="P30" s="7" t="s">
        <v>301</v>
      </c>
      <c r="Q30" s="7"/>
    </row>
    <row r="31" spans="1:17" x14ac:dyDescent="0.25">
      <c r="D31" s="37"/>
      <c r="H31" s="37"/>
      <c r="L31" s="37"/>
    </row>
    <row r="32" spans="1:17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7452.5199999999986</v>
      </c>
      <c r="H32" s="37"/>
      <c r="I32" s="26" t="s">
        <v>50</v>
      </c>
      <c r="J32" s="44">
        <f>'Sem 42'!J32+'Sem 43'!F32</f>
        <v>18485.559999999998</v>
      </c>
      <c r="L32" s="37"/>
      <c r="M32" s="27" t="s">
        <v>50</v>
      </c>
      <c r="N32" s="75">
        <f>J32</f>
        <v>18485.559999999998</v>
      </c>
      <c r="P32" s="27" t="s">
        <v>50</v>
      </c>
      <c r="Q32" s="45">
        <f>'Sem 13'!N32+'Sem 26'!N32+'Sem 39'!N32+'Sem 43'!N32</f>
        <v>235492.06000000003</v>
      </c>
    </row>
    <row r="33" spans="1:19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6780.4679999999989</v>
      </c>
      <c r="H33" s="37"/>
      <c r="I33" s="26" t="s">
        <v>51</v>
      </c>
      <c r="J33" s="44">
        <f>'Sem 42'!J33+'Sem 43'!F33</f>
        <v>14587.714</v>
      </c>
      <c r="L33" s="37"/>
      <c r="M33" s="27" t="s">
        <v>51</v>
      </c>
      <c r="N33" s="75">
        <f t="shared" ref="N33:N35" si="3">J33</f>
        <v>14587.714</v>
      </c>
      <c r="P33" s="27" t="s">
        <v>51</v>
      </c>
      <c r="Q33" s="45">
        <f>'Sem 13'!N33+'Sem 26'!N33+'Sem 39'!N33+'Sem 43'!N33</f>
        <v>173609.7972</v>
      </c>
    </row>
    <row r="34" spans="1:19" x14ac:dyDescent="0.25">
      <c r="A34" t="s">
        <v>34</v>
      </c>
      <c r="B34" s="29">
        <f>IF(C34="","",(C34*1.16)+3.75+10)</f>
        <v>3797.9019999999996</v>
      </c>
      <c r="C34" s="35">
        <v>3262.2</v>
      </c>
      <c r="D34" s="37"/>
      <c r="E34" s="25"/>
      <c r="F34" s="25"/>
      <c r="H34" s="37"/>
      <c r="I34" s="26"/>
      <c r="J34" s="44">
        <f>'Sem 42'!J34+'Sem 43'!F34</f>
        <v>0</v>
      </c>
      <c r="L34" s="37"/>
      <c r="M34" s="27"/>
      <c r="N34" s="75">
        <f t="shared" si="3"/>
        <v>0</v>
      </c>
      <c r="P34" s="27"/>
      <c r="Q34" s="45">
        <f>'Sem 13'!N34+'Sem 26'!N34+'Sem 39'!N34+'Sem 43'!N34</f>
        <v>0</v>
      </c>
    </row>
    <row r="35" spans="1:19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672.05199999999968</v>
      </c>
      <c r="H35" s="37"/>
      <c r="I35" s="26" t="s">
        <v>52</v>
      </c>
      <c r="J35" s="44">
        <f>'Sem 42'!J35+'Sem 43'!F35</f>
        <v>3897.8460000000005</v>
      </c>
      <c r="L35" s="37"/>
      <c r="M35" s="27" t="s">
        <v>52</v>
      </c>
      <c r="N35" s="75">
        <f t="shared" si="3"/>
        <v>3897.8460000000005</v>
      </c>
      <c r="P35" s="27" t="s">
        <v>52</v>
      </c>
      <c r="Q35" s="45">
        <f>'Sem 13'!N35+'Sem 26'!N35+'Sem 39'!N35+'Sem 43'!N35</f>
        <v>61882.262800000004</v>
      </c>
    </row>
    <row r="36" spans="1:19" x14ac:dyDescent="0.25">
      <c r="A36" t="s">
        <v>36</v>
      </c>
      <c r="B36" s="31">
        <v>1037.29</v>
      </c>
      <c r="D36" s="37"/>
      <c r="E36" s="25" t="s">
        <v>53</v>
      </c>
      <c r="F36" s="43">
        <f>(F32-F33)/F33</f>
        <v>9.9115872237727512E-2</v>
      </c>
      <c r="H36" s="37"/>
      <c r="I36" s="26" t="s">
        <v>53</v>
      </c>
      <c r="J36" s="52">
        <f>(J32-J33)/J33</f>
        <v>0.26720060456353872</v>
      </c>
      <c r="L36" s="37"/>
      <c r="M36" s="27" t="s">
        <v>53</v>
      </c>
      <c r="N36" s="53">
        <f>(N32-N33)/N33</f>
        <v>0.26720060456353872</v>
      </c>
      <c r="P36" s="27" t="s">
        <v>53</v>
      </c>
      <c r="Q36" s="53">
        <f>'Sem 13'!N36+'Sem 26'!N36+'Sem 39'!N36+'Sem 43'!N36</f>
        <v>1.3963517529361313</v>
      </c>
    </row>
    <row r="37" spans="1:19" x14ac:dyDescent="0.25">
      <c r="A37" t="s">
        <v>37</v>
      </c>
      <c r="B37" s="31">
        <v>1470.5</v>
      </c>
      <c r="D37" s="37"/>
      <c r="H37" s="37"/>
      <c r="L37" s="37"/>
    </row>
    <row r="38" spans="1:19" ht="15.75" thickBot="1" x14ac:dyDescent="0.3">
      <c r="A38" t="s">
        <v>38</v>
      </c>
      <c r="B38" s="32"/>
      <c r="D38" s="37"/>
      <c r="H38" s="37"/>
      <c r="L38" s="37"/>
    </row>
    <row r="39" spans="1:19" ht="15.75" thickBot="1" x14ac:dyDescent="0.3">
      <c r="B39" s="21"/>
      <c r="D39" s="37"/>
      <c r="E39" s="164"/>
      <c r="F39" s="165"/>
      <c r="H39" s="37"/>
      <c r="L39" s="37"/>
      <c r="Q39" t="s">
        <v>302</v>
      </c>
      <c r="S39" s="160">
        <f>Q35/43</f>
        <v>1439.1223906976745</v>
      </c>
    </row>
    <row r="40" spans="1:19" x14ac:dyDescent="0.25">
      <c r="B40" s="21"/>
      <c r="D40" s="37"/>
      <c r="E40" s="164"/>
      <c r="F40" s="165"/>
      <c r="H40" s="37"/>
      <c r="L40" s="37"/>
      <c r="M40" s="153"/>
      <c r="N40" s="154" t="s">
        <v>217</v>
      </c>
      <c r="O40" s="155"/>
      <c r="Q40" t="s">
        <v>303</v>
      </c>
      <c r="S40" s="21">
        <v>950</v>
      </c>
    </row>
    <row r="41" spans="1:19" x14ac:dyDescent="0.25">
      <c r="B41" s="21"/>
      <c r="D41" s="37"/>
      <c r="E41" s="164"/>
      <c r="F41" s="164"/>
      <c r="H41" s="37"/>
      <c r="L41" s="37"/>
      <c r="M41" s="156" t="s">
        <v>218</v>
      </c>
      <c r="N41" s="157">
        <v>403</v>
      </c>
      <c r="O41" s="158"/>
      <c r="Q41" t="s">
        <v>304</v>
      </c>
      <c r="S41" s="160">
        <f>S39-S40</f>
        <v>489.12239069767452</v>
      </c>
    </row>
    <row r="42" spans="1:19" x14ac:dyDescent="0.25">
      <c r="A42" s="2" t="s">
        <v>39</v>
      </c>
      <c r="B42" s="21"/>
      <c r="D42" s="37"/>
      <c r="E42" s="164"/>
      <c r="F42" s="165"/>
      <c r="H42" s="37"/>
      <c r="L42" s="37"/>
      <c r="M42" s="156"/>
      <c r="N42" s="157">
        <v>78</v>
      </c>
      <c r="O42" s="158"/>
    </row>
    <row r="43" spans="1:19" x14ac:dyDescent="0.25">
      <c r="A43" t="s">
        <v>40</v>
      </c>
      <c r="B43" s="21">
        <f>N49</f>
        <v>474.77600000000007</v>
      </c>
      <c r="D43" s="37"/>
      <c r="E43" s="164"/>
      <c r="F43" s="166"/>
      <c r="H43" s="37"/>
      <c r="L43" s="37"/>
      <c r="M43" s="156"/>
      <c r="N43" s="157">
        <v>41.65</v>
      </c>
      <c r="O43" s="158"/>
    </row>
    <row r="44" spans="1:19" x14ac:dyDescent="0.25">
      <c r="A44" s="6"/>
      <c r="B44" s="21"/>
      <c r="D44" s="37"/>
      <c r="H44" s="37"/>
      <c r="L44" s="37"/>
      <c r="M44" s="156"/>
      <c r="N44" s="157">
        <v>70.819999999999993</v>
      </c>
      <c r="O44" s="158"/>
    </row>
    <row r="45" spans="1:19" x14ac:dyDescent="0.25">
      <c r="A45" s="6"/>
      <c r="B45" s="21"/>
      <c r="D45" s="37"/>
      <c r="H45" s="37"/>
      <c r="L45" s="37"/>
      <c r="M45" s="156"/>
      <c r="N45" s="157"/>
      <c r="O45" s="158"/>
    </row>
    <row r="46" spans="1:19" x14ac:dyDescent="0.25">
      <c r="A46" s="6"/>
      <c r="B46" s="21"/>
      <c r="D46" s="37"/>
      <c r="H46" s="37"/>
      <c r="L46" s="37"/>
      <c r="M46" s="156"/>
      <c r="N46" s="157"/>
      <c r="O46" s="158"/>
    </row>
    <row r="47" spans="1:19" x14ac:dyDescent="0.25">
      <c r="A47" s="6"/>
      <c r="B47" s="21"/>
      <c r="D47" s="37"/>
      <c r="H47" s="37"/>
      <c r="L47" s="37"/>
      <c r="M47" s="156"/>
      <c r="N47" s="157"/>
      <c r="O47" s="158"/>
    </row>
    <row r="48" spans="1:19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7452.5199999999986</v>
      </c>
      <c r="L48" s="37"/>
      <c r="M48" s="156" t="s">
        <v>219</v>
      </c>
      <c r="N48" s="157">
        <f>SUM(N41:N47)</f>
        <v>593.47</v>
      </c>
      <c r="O48" s="158"/>
    </row>
    <row r="49" spans="1:15" ht="15.75" thickBot="1" x14ac:dyDescent="0.3">
      <c r="B49" s="21"/>
      <c r="D49" s="37"/>
      <c r="G49" s="40">
        <v>3874.02</v>
      </c>
      <c r="H49" s="37"/>
      <c r="L49" s="37"/>
      <c r="M49" s="156" t="s">
        <v>220</v>
      </c>
      <c r="N49" s="157">
        <f>N48*0.8</f>
        <v>474.77600000000007</v>
      </c>
      <c r="O49" s="158"/>
    </row>
    <row r="50" spans="1:15" ht="15.75" thickBot="1" x14ac:dyDescent="0.3">
      <c r="A50" t="s">
        <v>42</v>
      </c>
      <c r="B50" s="33">
        <f>SUM(B33:B48)</f>
        <v>6780.4679999999989</v>
      </c>
      <c r="D50" s="37"/>
      <c r="G50" s="40"/>
      <c r="H50" s="37"/>
      <c r="I50" t="s">
        <v>62</v>
      </c>
      <c r="J50">
        <v>7120.92</v>
      </c>
      <c r="K50" s="41">
        <f>J50/K48</f>
        <v>0.95550498354918889</v>
      </c>
      <c r="L50" s="37"/>
      <c r="M50" s="156" t="s">
        <v>221</v>
      </c>
      <c r="N50" s="157">
        <f>N48-N49</f>
        <v>118.69399999999996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331.59999999999854</v>
      </c>
      <c r="K51" s="41">
        <f>J51/K48</f>
        <v>4.4495016450811081E-2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1224.6099999999999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387.7*16%</f>
        <v>62.031999999999996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1910.3</v>
      </c>
      <c r="H55" s="37"/>
      <c r="L55" s="37"/>
    </row>
    <row r="56" spans="1:15" ht="15.75" thickBot="1" x14ac:dyDescent="0.3">
      <c r="A56" t="s">
        <v>44</v>
      </c>
      <c r="B56" s="33">
        <v>9531.02</v>
      </c>
      <c r="D56" s="37"/>
      <c r="H56" s="37"/>
      <c r="L56" s="37"/>
    </row>
    <row r="57" spans="1:15" ht="15.75" thickBot="1" x14ac:dyDescent="0.3">
      <c r="A57" t="s">
        <v>45</v>
      </c>
      <c r="B57" s="21">
        <f>'Sem 42'!B56</f>
        <v>6368.32</v>
      </c>
    </row>
    <row r="58" spans="1:15" ht="16.5" thickBot="1" x14ac:dyDescent="0.3">
      <c r="B58" s="21"/>
      <c r="E58" t="s">
        <v>65</v>
      </c>
      <c r="G58" s="48">
        <f>SUM(G48:G50)+SUM(G53:G55)</f>
        <v>7008.93</v>
      </c>
    </row>
    <row r="59" spans="1:15" x14ac:dyDescent="0.25">
      <c r="A59" t="s">
        <v>46</v>
      </c>
      <c r="B59" s="21">
        <f>B56-B57</f>
        <v>3162.7000000000007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theme="7" tint="0.59999389629810485"/>
    <pageSetUpPr fitToPage="1"/>
  </sheetPr>
  <dimension ref="A1:P59"/>
  <sheetViews>
    <sheetView topLeftCell="A25" workbookViewId="0">
      <selection activeCell="B57" sqref="B57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43402</v>
      </c>
      <c r="C3" s="10"/>
      <c r="D3" s="9">
        <v>43403</v>
      </c>
      <c r="E3" s="10"/>
      <c r="F3" s="9">
        <v>43404</v>
      </c>
      <c r="G3" s="10"/>
      <c r="H3" s="9">
        <v>43405</v>
      </c>
      <c r="I3" s="10"/>
      <c r="J3" s="9">
        <v>43406</v>
      </c>
      <c r="K3" s="10"/>
      <c r="L3" s="9">
        <v>43407</v>
      </c>
      <c r="M3" s="10"/>
      <c r="N3" s="9">
        <v>43408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f>418.05+6.5</f>
        <v>424.55</v>
      </c>
      <c r="E4" s="12"/>
      <c r="F4" s="12"/>
      <c r="G4" s="12"/>
      <c r="H4" s="12"/>
      <c r="I4" s="12"/>
      <c r="J4" s="12">
        <f>196.7+52.7</f>
        <v>249.39999999999998</v>
      </c>
      <c r="K4" s="12"/>
      <c r="L4" s="12"/>
      <c r="M4" s="12"/>
      <c r="N4" s="12"/>
      <c r="O4" s="12">
        <f>B4+D4+F4+H4+J4+L4+N4</f>
        <v>673.95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>
        <v>60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60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f>299.5+24.26</f>
        <v>323.76</v>
      </c>
      <c r="E6" s="14"/>
      <c r="F6" s="14"/>
      <c r="G6" s="14"/>
      <c r="H6" s="14"/>
      <c r="I6" s="14"/>
      <c r="J6" s="14">
        <v>313.75</v>
      </c>
      <c r="K6" s="14">
        <v>400</v>
      </c>
      <c r="L6" s="14"/>
      <c r="M6" s="14"/>
      <c r="N6" s="14"/>
      <c r="O6" s="12">
        <f t="shared" si="0"/>
        <v>637.51</v>
      </c>
      <c r="P6" s="12">
        <f t="shared" si="1"/>
        <v>400</v>
      </c>
    </row>
    <row r="7" spans="1:16" ht="18.75" x14ac:dyDescent="0.3">
      <c r="A7" s="18" t="s">
        <v>13</v>
      </c>
      <c r="B7" s="13">
        <f>78.5+364.75+40</f>
        <v>483.25</v>
      </c>
      <c r="C7" s="14"/>
      <c r="D7" s="14"/>
      <c r="E7" s="14"/>
      <c r="F7" s="14"/>
      <c r="G7" s="14"/>
      <c r="H7" s="14"/>
      <c r="I7" s="14"/>
      <c r="J7" s="14">
        <v>183.1</v>
      </c>
      <c r="K7" s="14"/>
      <c r="L7" s="14"/>
      <c r="M7" s="14"/>
      <c r="N7" s="14"/>
      <c r="O7" s="12">
        <f t="shared" si="0"/>
        <v>666.35</v>
      </c>
      <c r="P7" s="12">
        <f t="shared" si="1"/>
        <v>0</v>
      </c>
    </row>
    <row r="8" spans="1:16" ht="18.75" x14ac:dyDescent="0.3">
      <c r="A8" s="18" t="s">
        <v>14</v>
      </c>
      <c r="B8" s="13">
        <v>67.5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67.5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191.15</v>
      </c>
      <c r="G9" s="14"/>
      <c r="H9" s="14"/>
      <c r="I9" s="14"/>
      <c r="J9" s="14"/>
      <c r="K9" s="14"/>
      <c r="L9" s="14"/>
      <c r="M9" s="14"/>
      <c r="N9" s="14"/>
      <c r="O9" s="12">
        <f t="shared" si="0"/>
        <v>191.15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501.65</v>
      </c>
      <c r="K13" s="14"/>
      <c r="L13" s="14"/>
      <c r="M13" s="14"/>
      <c r="N13" s="14"/>
      <c r="O13" s="12">
        <f t="shared" si="0"/>
        <v>501.65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35.5</v>
      </c>
      <c r="G14" s="14"/>
      <c r="H14" s="14"/>
      <c r="I14" s="14"/>
      <c r="J14" s="14">
        <f>116.9-35.5</f>
        <v>81.400000000000006</v>
      </c>
      <c r="K14" s="14"/>
      <c r="L14" s="14"/>
      <c r="M14" s="14"/>
      <c r="N14" s="14"/>
      <c r="O14" s="12">
        <f t="shared" si="0"/>
        <v>116.9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228.45</v>
      </c>
      <c r="E15" s="14">
        <f>501.84+150</f>
        <v>651.83999999999992</v>
      </c>
      <c r="F15" s="14"/>
      <c r="G15" s="14"/>
      <c r="H15" s="14"/>
      <c r="I15" s="14"/>
      <c r="J15" s="14">
        <v>65.3</v>
      </c>
      <c r="K15" s="14"/>
      <c r="L15" s="14"/>
      <c r="M15" s="14"/>
      <c r="N15" s="14"/>
      <c r="O15" s="12">
        <f t="shared" si="0"/>
        <v>293.75</v>
      </c>
      <c r="P15" s="12">
        <f t="shared" si="1"/>
        <v>651.83999999999992</v>
      </c>
    </row>
    <row r="16" spans="1:16" ht="18.75" x14ac:dyDescent="0.3">
      <c r="A16" s="19" t="s">
        <v>22</v>
      </c>
      <c r="B16" s="13"/>
      <c r="C16" s="14"/>
      <c r="D16" s="14">
        <v>438.45</v>
      </c>
      <c r="E16" s="14">
        <v>709.6</v>
      </c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438.45</v>
      </c>
      <c r="P16" s="12">
        <f t="shared" si="1"/>
        <v>709.6</v>
      </c>
    </row>
    <row r="17" spans="1:16" ht="18.75" x14ac:dyDescent="0.3">
      <c r="A17" s="18" t="s">
        <v>23</v>
      </c>
      <c r="B17" s="13"/>
      <c r="C17" s="14"/>
      <c r="D17" s="14">
        <v>250.3</v>
      </c>
      <c r="E17" s="14"/>
      <c r="F17" s="14">
        <v>268.64999999999998</v>
      </c>
      <c r="G17" s="14"/>
      <c r="H17" s="14"/>
      <c r="I17" s="14"/>
      <c r="J17" s="14"/>
      <c r="K17" s="14"/>
      <c r="L17" s="14"/>
      <c r="M17" s="14"/>
      <c r="N17" s="14"/>
      <c r="O17" s="12">
        <f t="shared" si="0"/>
        <v>518.95000000000005</v>
      </c>
      <c r="P17" s="12">
        <f t="shared" si="1"/>
        <v>0</v>
      </c>
    </row>
    <row r="18" spans="1:16" ht="18.75" x14ac:dyDescent="0.3">
      <c r="A18" s="18" t="s">
        <v>24</v>
      </c>
      <c r="B18" s="13">
        <f>743.95-234.7</f>
        <v>509.25000000000006</v>
      </c>
      <c r="C18" s="14"/>
      <c r="D18" s="14"/>
      <c r="E18" s="14"/>
      <c r="F18" s="14">
        <v>92.75</v>
      </c>
      <c r="G18" s="14"/>
      <c r="H18" s="14"/>
      <c r="I18" s="14"/>
      <c r="J18" s="14">
        <v>113.95</v>
      </c>
      <c r="K18" s="14"/>
      <c r="L18" s="14"/>
      <c r="M18" s="14"/>
      <c r="N18" s="14"/>
      <c r="O18" s="12">
        <f t="shared" si="0"/>
        <v>715.95</v>
      </c>
      <c r="P18" s="12">
        <f t="shared" si="1"/>
        <v>0</v>
      </c>
    </row>
    <row r="19" spans="1:16" ht="18.75" x14ac:dyDescent="0.3">
      <c r="A19" s="20" t="s">
        <v>287</v>
      </c>
      <c r="B19" s="15"/>
      <c r="C19" s="14"/>
      <c r="D19" s="14"/>
      <c r="E19" s="14"/>
      <c r="F19" s="14">
        <v>195.6</v>
      </c>
      <c r="G19" s="14"/>
      <c r="H19" s="14"/>
      <c r="I19" s="14"/>
      <c r="J19" s="14">
        <v>130.5</v>
      </c>
      <c r="K19" s="14"/>
      <c r="L19" s="14"/>
      <c r="M19" s="14"/>
      <c r="N19" s="14"/>
      <c r="O19" s="12">
        <f t="shared" si="0"/>
        <v>326.10000000000002</v>
      </c>
      <c r="P19" s="12">
        <f t="shared" si="1"/>
        <v>0</v>
      </c>
    </row>
    <row r="20" spans="1:16" ht="18.75" x14ac:dyDescent="0.3">
      <c r="A20" s="20" t="s">
        <v>305</v>
      </c>
      <c r="B20" s="15"/>
      <c r="C20" s="14"/>
      <c r="D20" s="14"/>
      <c r="E20" s="14"/>
      <c r="F20" s="14"/>
      <c r="G20" s="14"/>
      <c r="H20" s="14"/>
      <c r="I20" s="14"/>
      <c r="J20" s="14">
        <v>39</v>
      </c>
      <c r="K20" s="14"/>
      <c r="L20" s="14"/>
      <c r="M20" s="14"/>
      <c r="N20" s="14"/>
      <c r="O20" s="12">
        <f t="shared" si="0"/>
        <v>39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>
        <v>234.7</v>
      </c>
      <c r="C23" s="17"/>
      <c r="D23" s="17">
        <v>100</v>
      </c>
      <c r="E23" s="17">
        <v>100</v>
      </c>
      <c r="F23" s="17">
        <v>75</v>
      </c>
      <c r="G23" s="17">
        <v>75</v>
      </c>
      <c r="H23" s="17"/>
      <c r="I23" s="17"/>
      <c r="J23" s="17"/>
      <c r="K23" s="17"/>
      <c r="L23" s="17"/>
      <c r="M23" s="17"/>
      <c r="N23" s="17"/>
      <c r="O23" s="49">
        <f t="shared" si="0"/>
        <v>409.7</v>
      </c>
      <c r="P23" s="49">
        <f t="shared" si="1"/>
        <v>175</v>
      </c>
    </row>
    <row r="24" spans="1:16" x14ac:dyDescent="0.25">
      <c r="A24" t="s">
        <v>54</v>
      </c>
      <c r="B24" s="21">
        <f>SUM(B4:B23)</f>
        <v>1294.7</v>
      </c>
      <c r="C24" s="21">
        <f t="shared" ref="C24:P24" si="2">SUM(C4:C23)</f>
        <v>0</v>
      </c>
      <c r="D24" s="21">
        <f t="shared" si="2"/>
        <v>1825.51</v>
      </c>
      <c r="E24" s="21">
        <f t="shared" si="2"/>
        <v>1461.44</v>
      </c>
      <c r="F24" s="21">
        <f t="shared" si="2"/>
        <v>858.65</v>
      </c>
      <c r="G24" s="21">
        <f t="shared" si="2"/>
        <v>75</v>
      </c>
      <c r="H24" s="21">
        <f t="shared" si="2"/>
        <v>0</v>
      </c>
      <c r="I24" s="21">
        <f t="shared" si="2"/>
        <v>0</v>
      </c>
      <c r="J24" s="21">
        <f t="shared" si="2"/>
        <v>1678.0500000000002</v>
      </c>
      <c r="K24" s="21">
        <f t="shared" si="2"/>
        <v>400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5656.91</v>
      </c>
      <c r="P24" s="50">
        <f t="shared" si="2"/>
        <v>1936.44</v>
      </c>
    </row>
    <row r="25" spans="1:16" ht="15.75" thickBot="1" x14ac:dyDescent="0.3">
      <c r="N25" t="s">
        <v>55</v>
      </c>
      <c r="O25" s="50">
        <f>SUM(B24+D24+F24+H24+J24+L24+N24)</f>
        <v>5656.91</v>
      </c>
      <c r="P25" s="50">
        <f>SUM(C24+E24+G24+I24+K24+M24)</f>
        <v>1936.44</v>
      </c>
    </row>
    <row r="26" spans="1:16" ht="15.75" thickBot="1" x14ac:dyDescent="0.3">
      <c r="A26" t="s">
        <v>27</v>
      </c>
      <c r="B26" s="22">
        <f>O24</f>
        <v>5656.91</v>
      </c>
      <c r="D26" s="5" t="s">
        <v>30</v>
      </c>
      <c r="E26" s="47">
        <f>B50*1.5</f>
        <v>4845.1230000000005</v>
      </c>
    </row>
    <row r="27" spans="1:16" x14ac:dyDescent="0.25">
      <c r="A27" t="s">
        <v>28</v>
      </c>
      <c r="B27" s="22">
        <f>P24</f>
        <v>1936.44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5656.91</v>
      </c>
      <c r="H32" s="37"/>
      <c r="I32" s="26" t="s">
        <v>50</v>
      </c>
      <c r="J32" s="44">
        <f>'Sem 43'!J32+'Sem 44'!F32</f>
        <v>24142.469999999998</v>
      </c>
      <c r="L32" s="37"/>
      <c r="M32" s="27" t="s">
        <v>50</v>
      </c>
      <c r="N32" s="45">
        <f>'Sem 43'!N32+'Sem 44'!F32</f>
        <v>24142.469999999998</v>
      </c>
    </row>
    <row r="33" spans="1:15" x14ac:dyDescent="0.25">
      <c r="A33" t="s">
        <v>33</v>
      </c>
      <c r="B33" s="28">
        <f>IF(C33="","",(C33*1.16)+3.75+10)</f>
        <v>1415.4939999999999</v>
      </c>
      <c r="C33" s="34">
        <v>1208.4000000000001</v>
      </c>
      <c r="D33" s="37"/>
      <c r="E33" s="25" t="s">
        <v>51</v>
      </c>
      <c r="F33" s="42">
        <f>B50</f>
        <v>3230.0820000000003</v>
      </c>
      <c r="H33" s="37"/>
      <c r="I33" s="26" t="s">
        <v>51</v>
      </c>
      <c r="J33" s="44">
        <f>'Sem 43'!J33+'Sem 44'!F33</f>
        <v>17817.796000000002</v>
      </c>
      <c r="L33" s="37"/>
      <c r="M33" s="27" t="s">
        <v>51</v>
      </c>
      <c r="N33" s="45">
        <f>'Sem 43'!N33+'Sem 44'!F33</f>
        <v>17817.796000000002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43'!J34+'Sem 44'!F34</f>
        <v>0</v>
      </c>
      <c r="L34" s="37"/>
      <c r="M34" s="27"/>
      <c r="N34" s="45">
        <f>'Sem 43'!N34+'Sem 44'!F34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2426.8279999999995</v>
      </c>
      <c r="H35" s="37"/>
      <c r="I35" s="26" t="s">
        <v>52</v>
      </c>
      <c r="J35" s="44">
        <f>'Sem 43'!J35+'Sem 44'!F35</f>
        <v>6324.674</v>
      </c>
      <c r="L35" s="37"/>
      <c r="M35" s="27" t="s">
        <v>52</v>
      </c>
      <c r="N35" s="45">
        <f>'Sem 43'!N35+'Sem 44'!F35</f>
        <v>6324.674</v>
      </c>
    </row>
    <row r="36" spans="1:15" x14ac:dyDescent="0.25">
      <c r="A36" t="s">
        <v>36</v>
      </c>
      <c r="B36" s="31">
        <v>1206.94</v>
      </c>
      <c r="D36" s="37"/>
      <c r="E36" s="25" t="s">
        <v>53</v>
      </c>
      <c r="F36" s="43">
        <f>(F32-F33)/F33</f>
        <v>0.75132086430003919</v>
      </c>
      <c r="H36" s="37"/>
      <c r="I36" s="26" t="s">
        <v>53</v>
      </c>
      <c r="J36" s="52">
        <f>(J32-J33)/J33</f>
        <v>0.35496387993217537</v>
      </c>
      <c r="L36" s="37"/>
      <c r="M36" s="27" t="s">
        <v>53</v>
      </c>
      <c r="N36" s="53">
        <f>(N32-N33)/N33</f>
        <v>0.35496387993217537</v>
      </c>
    </row>
    <row r="37" spans="1:15" x14ac:dyDescent="0.25">
      <c r="A37" t="s">
        <v>37</v>
      </c>
      <c r="B37" s="31">
        <v>350.4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H41" s="37"/>
      <c r="L41" s="37"/>
      <c r="M41" s="156" t="s">
        <v>218</v>
      </c>
      <c r="N41" s="157">
        <v>198.1</v>
      </c>
      <c r="O41" s="158"/>
    </row>
    <row r="42" spans="1:15" x14ac:dyDescent="0.25">
      <c r="A42" s="2" t="s">
        <v>39</v>
      </c>
      <c r="B42" s="21"/>
      <c r="D42" s="37"/>
      <c r="H42" s="37"/>
      <c r="L42" s="37"/>
      <c r="M42" s="156"/>
      <c r="N42" s="157">
        <v>40</v>
      </c>
      <c r="O42" s="158"/>
    </row>
    <row r="43" spans="1:15" x14ac:dyDescent="0.25">
      <c r="A43" t="s">
        <v>40</v>
      </c>
      <c r="B43" s="21">
        <f>N49</f>
        <v>257.24799999999999</v>
      </c>
      <c r="D43" s="37"/>
      <c r="H43" s="37"/>
      <c r="L43" s="37"/>
      <c r="M43" s="156"/>
      <c r="N43" s="157">
        <v>6.5</v>
      </c>
      <c r="O43" s="158"/>
    </row>
    <row r="44" spans="1:15" x14ac:dyDescent="0.25">
      <c r="A44" s="6"/>
      <c r="B44" s="21"/>
      <c r="D44" s="37"/>
      <c r="H44" s="37"/>
      <c r="L44" s="37"/>
      <c r="M44" s="156"/>
      <c r="N44" s="157">
        <v>24.26</v>
      </c>
      <c r="O44" s="158"/>
    </row>
    <row r="45" spans="1:15" x14ac:dyDescent="0.25">
      <c r="A45" s="6"/>
      <c r="B45" s="21"/>
      <c r="D45" s="37"/>
      <c r="H45" s="37"/>
      <c r="L45" s="37"/>
      <c r="M45" s="156"/>
      <c r="N45" s="157">
        <v>52.7</v>
      </c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>
        <v>1510.49</v>
      </c>
      <c r="H48" s="37"/>
      <c r="I48" s="38" t="s">
        <v>61</v>
      </c>
      <c r="J48" s="38"/>
      <c r="K48" s="39">
        <f>F32</f>
        <v>5656.91</v>
      </c>
      <c r="L48" s="37"/>
      <c r="M48" s="156" t="s">
        <v>219</v>
      </c>
      <c r="N48" s="157">
        <f>SUM(N41:N47)</f>
        <v>321.56</v>
      </c>
      <c r="O48" s="158"/>
    </row>
    <row r="49" spans="1:15" ht="15.75" thickBot="1" x14ac:dyDescent="0.3">
      <c r="B49" s="21"/>
      <c r="D49" s="37"/>
      <c r="G49" s="40"/>
      <c r="H49" s="37"/>
      <c r="L49" s="37"/>
      <c r="M49" s="156" t="s">
        <v>220</v>
      </c>
      <c r="N49" s="157">
        <f>N48*0.8</f>
        <v>257.24799999999999</v>
      </c>
      <c r="O49" s="158"/>
    </row>
    <row r="50" spans="1:15" ht="15.75" thickBot="1" x14ac:dyDescent="0.3">
      <c r="A50" t="s">
        <v>42</v>
      </c>
      <c r="B50" s="33">
        <f>SUM(B33:B48)</f>
        <v>3230.0820000000003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64.312000000000012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5656.91</v>
      </c>
      <c r="K51" s="41">
        <f>J51/K48</f>
        <v>1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1310.44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56.064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406.89</v>
      </c>
      <c r="H55" s="37"/>
      <c r="L55" s="37"/>
    </row>
    <row r="56" spans="1:15" ht="15.75" thickBot="1" x14ac:dyDescent="0.3">
      <c r="A56" t="s">
        <v>44</v>
      </c>
      <c r="B56" s="33">
        <v>10000</v>
      </c>
      <c r="D56" s="37"/>
      <c r="H56" s="37"/>
      <c r="L56" s="37"/>
    </row>
    <row r="57" spans="1:15" ht="15.75" thickBot="1" x14ac:dyDescent="0.3">
      <c r="A57" t="s">
        <v>45</v>
      </c>
      <c r="B57" s="21">
        <f>'Sem 43'!B56</f>
        <v>9531.02</v>
      </c>
    </row>
    <row r="58" spans="1:15" ht="16.5" thickBot="1" x14ac:dyDescent="0.3">
      <c r="B58" s="21"/>
      <c r="E58" t="s">
        <v>65</v>
      </c>
      <c r="G58" s="48">
        <f>SUM(G48:G50)+SUM(G53:G55)</f>
        <v>3227.8199999999997</v>
      </c>
    </row>
    <row r="59" spans="1:15" x14ac:dyDescent="0.25">
      <c r="A59" t="s">
        <v>46</v>
      </c>
      <c r="B59" s="21"/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theme="7" tint="0.59999389629810485"/>
    <pageSetUpPr fitToPage="1"/>
  </sheetPr>
  <dimension ref="A1:P59"/>
  <sheetViews>
    <sheetView workbookViewId="0">
      <selection activeCell="F42" sqref="F42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43409</v>
      </c>
      <c r="C3" s="10"/>
      <c r="D3" s="9">
        <v>43410</v>
      </c>
      <c r="E3" s="10"/>
      <c r="F3" s="9">
        <v>43411</v>
      </c>
      <c r="G3" s="10"/>
      <c r="H3" s="9">
        <v>43412</v>
      </c>
      <c r="I3" s="10"/>
      <c r="J3" s="9">
        <v>43413</v>
      </c>
      <c r="K3" s="10"/>
      <c r="L3" s="9">
        <v>43414</v>
      </c>
      <c r="M3" s="10"/>
      <c r="N3" s="9">
        <v>43415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292.85000000000002</v>
      </c>
      <c r="E4" s="12"/>
      <c r="F4" s="12"/>
      <c r="G4" s="12"/>
      <c r="H4" s="12">
        <f>389.1+26.35</f>
        <v>415.45000000000005</v>
      </c>
      <c r="I4" s="12">
        <v>754.75</v>
      </c>
      <c r="J4" s="12"/>
      <c r="K4" s="12"/>
      <c r="L4" s="12"/>
      <c r="M4" s="12"/>
      <c r="N4" s="12"/>
      <c r="O4" s="12">
        <f>B4+D4+F4+H4+J4+L4+N4</f>
        <v>708.30000000000007</v>
      </c>
      <c r="P4" s="12">
        <f>C4+E4+G4+I4+K4+M4</f>
        <v>754.75</v>
      </c>
    </row>
    <row r="5" spans="1:16" ht="18.75" x14ac:dyDescent="0.3">
      <c r="A5" s="18" t="s">
        <v>11</v>
      </c>
      <c r="B5" s="13"/>
      <c r="C5" s="14"/>
      <c r="D5" s="14">
        <v>44.5</v>
      </c>
      <c r="E5" s="14"/>
      <c r="F5" s="14"/>
      <c r="G5" s="14"/>
      <c r="H5" s="14">
        <v>56.25</v>
      </c>
      <c r="I5" s="14"/>
      <c r="J5" s="14"/>
      <c r="K5" s="14"/>
      <c r="L5" s="14"/>
      <c r="M5" s="14"/>
      <c r="N5" s="14"/>
      <c r="O5" s="12">
        <f t="shared" ref="O5:O23" si="0">B5+D5+F5+H5+J5+L5+N5</f>
        <v>100.75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246</v>
      </c>
      <c r="E6" s="14"/>
      <c r="F6" s="14"/>
      <c r="G6" s="14"/>
      <c r="H6" s="14"/>
      <c r="I6" s="14"/>
      <c r="J6" s="14">
        <v>361.25</v>
      </c>
      <c r="K6" s="14"/>
      <c r="L6" s="14"/>
      <c r="M6" s="14"/>
      <c r="N6" s="14"/>
      <c r="O6" s="12">
        <f t="shared" si="0"/>
        <v>607.25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>
        <v>201.15</v>
      </c>
      <c r="K7" s="14"/>
      <c r="L7" s="14"/>
      <c r="M7" s="14"/>
      <c r="N7" s="14"/>
      <c r="O7" s="12">
        <f t="shared" si="0"/>
        <v>201.15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150.25</v>
      </c>
      <c r="I9" s="14">
        <f>202.62+159.27</f>
        <v>361.89</v>
      </c>
      <c r="J9" s="14"/>
      <c r="K9" s="14"/>
      <c r="L9" s="14"/>
      <c r="M9" s="14"/>
      <c r="N9" s="14"/>
      <c r="O9" s="12">
        <f t="shared" si="0"/>
        <v>150.25</v>
      </c>
      <c r="P9" s="12">
        <f t="shared" si="1"/>
        <v>361.89</v>
      </c>
    </row>
    <row r="10" spans="1:16" ht="18.75" x14ac:dyDescent="0.3">
      <c r="A10" s="69" t="s">
        <v>16</v>
      </c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>
        <f t="shared" si="0"/>
        <v>0</v>
      </c>
      <c r="P10" s="72">
        <f t="shared" si="1"/>
        <v>0</v>
      </c>
    </row>
    <row r="11" spans="1:16" ht="18.75" x14ac:dyDescent="0.3">
      <c r="A11" s="69" t="s">
        <v>17</v>
      </c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2">
        <f t="shared" si="0"/>
        <v>0</v>
      </c>
      <c r="P11" s="7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434.75</v>
      </c>
      <c r="K13" s="14"/>
      <c r="L13" s="14"/>
      <c r="M13" s="14"/>
      <c r="N13" s="14"/>
      <c r="O13" s="12">
        <f t="shared" si="0"/>
        <v>434.75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>
        <v>290.25</v>
      </c>
      <c r="G15" s="14"/>
      <c r="H15" s="14">
        <v>128</v>
      </c>
      <c r="I15" s="14">
        <v>311.38</v>
      </c>
      <c r="J15" s="14"/>
      <c r="K15" s="14"/>
      <c r="L15" s="14"/>
      <c r="M15" s="14"/>
      <c r="N15" s="14"/>
      <c r="O15" s="12">
        <f t="shared" si="0"/>
        <v>418.25</v>
      </c>
      <c r="P15" s="12">
        <f t="shared" si="1"/>
        <v>311.38</v>
      </c>
    </row>
    <row r="16" spans="1:16" ht="18.75" x14ac:dyDescent="0.3">
      <c r="A16" s="19" t="s">
        <v>22</v>
      </c>
      <c r="B16" s="13"/>
      <c r="C16" s="14"/>
      <c r="D16" s="14">
        <v>192.1</v>
      </c>
      <c r="E16" s="14">
        <v>464.76</v>
      </c>
      <c r="F16" s="14"/>
      <c r="G16" s="14"/>
      <c r="H16" s="14">
        <f>303.2+26.35</f>
        <v>329.55</v>
      </c>
      <c r="I16" s="14"/>
      <c r="J16" s="14"/>
      <c r="K16" s="14"/>
      <c r="L16" s="14"/>
      <c r="M16" s="14"/>
      <c r="N16" s="14"/>
      <c r="O16" s="12">
        <f t="shared" si="0"/>
        <v>521.65</v>
      </c>
      <c r="P16" s="12">
        <f t="shared" si="1"/>
        <v>464.76</v>
      </c>
    </row>
    <row r="17" spans="1:16" ht="18.75" x14ac:dyDescent="0.3">
      <c r="A17" s="18" t="s">
        <v>23</v>
      </c>
      <c r="B17" s="13"/>
      <c r="C17" s="14"/>
      <c r="D17" s="14">
        <v>137.19999999999999</v>
      </c>
      <c r="E17" s="14"/>
      <c r="F17" s="14"/>
      <c r="G17" s="14"/>
      <c r="H17" s="14">
        <v>105.7</v>
      </c>
      <c r="I17" s="14"/>
      <c r="J17" s="14"/>
      <c r="K17" s="14"/>
      <c r="L17" s="14"/>
      <c r="M17" s="14"/>
      <c r="N17" s="14"/>
      <c r="O17" s="12">
        <f t="shared" si="0"/>
        <v>242.89999999999998</v>
      </c>
      <c r="P17" s="12">
        <f t="shared" si="1"/>
        <v>0</v>
      </c>
    </row>
    <row r="18" spans="1:16" ht="18.75" x14ac:dyDescent="0.3">
      <c r="A18" s="18" t="s">
        <v>24</v>
      </c>
      <c r="B18" s="13">
        <f>288.8+13</f>
        <v>301.8</v>
      </c>
      <c r="C18" s="14"/>
      <c r="D18" s="14"/>
      <c r="E18" s="14"/>
      <c r="F18" s="14">
        <v>117.6</v>
      </c>
      <c r="G18" s="14"/>
      <c r="H18" s="14"/>
      <c r="I18" s="14"/>
      <c r="J18" s="14">
        <f>620.8-288.8-117.6</f>
        <v>214.39999999999995</v>
      </c>
      <c r="K18" s="14"/>
      <c r="L18" s="14"/>
      <c r="M18" s="14"/>
      <c r="N18" s="14"/>
      <c r="O18" s="12">
        <f t="shared" si="0"/>
        <v>633.79999999999995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85</v>
      </c>
      <c r="I23" s="17">
        <v>85</v>
      </c>
      <c r="J23" s="17">
        <v>163</v>
      </c>
      <c r="K23" s="17">
        <v>163</v>
      </c>
      <c r="L23" s="17"/>
      <c r="M23" s="17"/>
      <c r="N23" s="17"/>
      <c r="O23" s="49">
        <f t="shared" si="0"/>
        <v>248</v>
      </c>
      <c r="P23" s="49">
        <f t="shared" si="1"/>
        <v>248</v>
      </c>
    </row>
    <row r="24" spans="1:16" x14ac:dyDescent="0.25">
      <c r="A24" t="s">
        <v>54</v>
      </c>
      <c r="B24" s="21">
        <f>SUM(B4:B23)</f>
        <v>301.8</v>
      </c>
      <c r="C24" s="21">
        <f t="shared" ref="C24:P24" si="2">SUM(C4:C23)</f>
        <v>0</v>
      </c>
      <c r="D24" s="21">
        <f t="shared" si="2"/>
        <v>912.65000000000009</v>
      </c>
      <c r="E24" s="21">
        <f t="shared" si="2"/>
        <v>464.76</v>
      </c>
      <c r="F24" s="21">
        <f t="shared" si="2"/>
        <v>407.85</v>
      </c>
      <c r="G24" s="21">
        <f t="shared" si="2"/>
        <v>0</v>
      </c>
      <c r="H24" s="21">
        <f t="shared" si="2"/>
        <v>1270.2</v>
      </c>
      <c r="I24" s="21">
        <f t="shared" si="2"/>
        <v>1513.02</v>
      </c>
      <c r="J24" s="21">
        <f t="shared" si="2"/>
        <v>1374.55</v>
      </c>
      <c r="K24" s="21">
        <f t="shared" si="2"/>
        <v>163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4267.05</v>
      </c>
      <c r="P24" s="50">
        <f t="shared" si="2"/>
        <v>2140.7799999999997</v>
      </c>
    </row>
    <row r="25" spans="1:16" ht="15.75" thickBot="1" x14ac:dyDescent="0.3">
      <c r="N25" t="s">
        <v>55</v>
      </c>
      <c r="O25" s="50">
        <f>SUM(B24+D24+F24+H24+J24+L24+N24)</f>
        <v>4267.05</v>
      </c>
      <c r="P25" s="50">
        <f>SUM(C24+E24+G24+I24+K24+M24)</f>
        <v>2140.7799999999997</v>
      </c>
    </row>
    <row r="26" spans="1:16" ht="15.75" thickBot="1" x14ac:dyDescent="0.3">
      <c r="A26" t="s">
        <v>27</v>
      </c>
      <c r="B26" s="22">
        <f>O24</f>
        <v>4267.05</v>
      </c>
      <c r="D26" s="5" t="s">
        <v>30</v>
      </c>
      <c r="E26" s="47">
        <f>B50*1.5</f>
        <v>4552.4694</v>
      </c>
    </row>
    <row r="27" spans="1:16" x14ac:dyDescent="0.25">
      <c r="A27" t="s">
        <v>28</v>
      </c>
      <c r="B27" s="22">
        <f>P24</f>
        <v>2140.7799999999997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4267.05</v>
      </c>
      <c r="H32" s="37"/>
      <c r="I32" s="26" t="s">
        <v>50</v>
      </c>
      <c r="J32" s="44">
        <f>F32</f>
        <v>4267.05</v>
      </c>
      <c r="L32" s="37"/>
      <c r="M32" s="27" t="s">
        <v>50</v>
      </c>
      <c r="N32" s="45">
        <f>'Sem 44'!N32+'Sem 45'!F32</f>
        <v>28409.519999999997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3034.9795999999997</v>
      </c>
      <c r="H33" s="37"/>
      <c r="I33" s="26" t="s">
        <v>51</v>
      </c>
      <c r="J33" s="44">
        <f>F33</f>
        <v>3034.9795999999997</v>
      </c>
      <c r="L33" s="37"/>
      <c r="M33" s="27" t="s">
        <v>51</v>
      </c>
      <c r="N33" s="45">
        <f>'Sem 44'!N33+'Sem 45'!F33</f>
        <v>20852.775600000001</v>
      </c>
    </row>
    <row r="34" spans="1:15" x14ac:dyDescent="0.25">
      <c r="A34" t="s">
        <v>34</v>
      </c>
      <c r="B34" s="29">
        <f>IF(C34="","",(C34*1.16)+3.75+10)</f>
        <v>1684.7995999999998</v>
      </c>
      <c r="C34" s="35">
        <v>1440.56</v>
      </c>
      <c r="D34" s="37"/>
      <c r="E34" s="25"/>
      <c r="F34" s="25"/>
      <c r="H34" s="37"/>
      <c r="I34" s="26"/>
      <c r="J34" s="44"/>
      <c r="L34" s="37"/>
      <c r="M34" s="27"/>
      <c r="N34" s="45">
        <f>'Sem 44'!N34+'Sem 45'!F34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1232.0704000000005</v>
      </c>
      <c r="H35" s="37"/>
      <c r="I35" s="26" t="s">
        <v>52</v>
      </c>
      <c r="J35" s="44">
        <f>F35</f>
        <v>1232.0704000000005</v>
      </c>
      <c r="L35" s="37"/>
      <c r="M35" s="27" t="s">
        <v>52</v>
      </c>
      <c r="N35" s="45">
        <f>'Sem 44'!N35+'Sem 45'!F35</f>
        <v>7556.7444000000005</v>
      </c>
    </row>
    <row r="36" spans="1:15" x14ac:dyDescent="0.25">
      <c r="A36" t="s">
        <v>36</v>
      </c>
      <c r="B36" s="31">
        <v>990.02</v>
      </c>
      <c r="D36" s="37"/>
      <c r="E36" s="25" t="s">
        <v>53</v>
      </c>
      <c r="F36" s="43">
        <f>(F32-F33)/F33</f>
        <v>0.40595673196617227</v>
      </c>
      <c r="H36" s="37"/>
      <c r="I36" s="26" t="s">
        <v>53</v>
      </c>
      <c r="J36" s="52">
        <f>(J32-J33)/J33</f>
        <v>0.40595673196617227</v>
      </c>
      <c r="L36" s="37"/>
      <c r="M36" s="27" t="s">
        <v>53</v>
      </c>
      <c r="N36" s="53">
        <f>(N32-N33)/N33</f>
        <v>0.36238554257496519</v>
      </c>
    </row>
    <row r="37" spans="1:15" x14ac:dyDescent="0.25">
      <c r="A37" t="s">
        <v>37</v>
      </c>
      <c r="B37" s="31">
        <v>307.60000000000002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H41" s="37"/>
      <c r="L41" s="37"/>
      <c r="M41" s="156" t="s">
        <v>218</v>
      </c>
      <c r="N41" s="157">
        <v>13</v>
      </c>
      <c r="O41" s="158"/>
    </row>
    <row r="42" spans="1:15" x14ac:dyDescent="0.25">
      <c r="A42" s="2" t="s">
        <v>39</v>
      </c>
      <c r="B42" s="21"/>
      <c r="D42" s="37"/>
      <c r="H42" s="37"/>
      <c r="L42" s="37"/>
      <c r="M42" s="156"/>
      <c r="N42" s="157">
        <v>26.35</v>
      </c>
      <c r="O42" s="158"/>
    </row>
    <row r="43" spans="1:15" x14ac:dyDescent="0.25">
      <c r="A43" t="s">
        <v>40</v>
      </c>
      <c r="B43" s="21">
        <f>N49</f>
        <v>52.56</v>
      </c>
      <c r="D43" s="37"/>
      <c r="H43" s="37"/>
      <c r="L43" s="37"/>
      <c r="M43" s="156"/>
      <c r="N43" s="157">
        <v>26.35</v>
      </c>
      <c r="O43" s="158"/>
    </row>
    <row r="44" spans="1:15" x14ac:dyDescent="0.25">
      <c r="A44" s="6"/>
      <c r="B44" s="21"/>
      <c r="D44" s="37"/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4267.05</v>
      </c>
      <c r="L48" s="37"/>
      <c r="M48" s="156" t="s">
        <v>219</v>
      </c>
      <c r="N48" s="157">
        <f>SUM(N41:N47)</f>
        <v>65.7</v>
      </c>
      <c r="O48" s="158"/>
    </row>
    <row r="49" spans="1:15" ht="15.75" thickBot="1" x14ac:dyDescent="0.3">
      <c r="B49" s="21"/>
      <c r="D49" s="37"/>
      <c r="G49" s="40">
        <v>1904.17</v>
      </c>
      <c r="H49" s="37"/>
      <c r="L49" s="37"/>
      <c r="M49" s="156" t="s">
        <v>220</v>
      </c>
      <c r="N49" s="157">
        <f>N48*0.8</f>
        <v>52.56</v>
      </c>
      <c r="O49" s="158"/>
    </row>
    <row r="50" spans="1:15" ht="15.75" thickBot="1" x14ac:dyDescent="0.3">
      <c r="A50" t="s">
        <v>42</v>
      </c>
      <c r="B50" s="33">
        <f>SUM(B33:B48)</f>
        <v>3034.9795999999997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13.14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4267.05</v>
      </c>
      <c r="K51" s="41">
        <f>J51/K48</f>
        <v>1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1266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49.216000000000008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487.67</v>
      </c>
      <c r="H55" s="37"/>
      <c r="L55" s="37"/>
    </row>
    <row r="56" spans="1:15" ht="15.75" thickBot="1" x14ac:dyDescent="0.3">
      <c r="A56" t="s">
        <v>44</v>
      </c>
      <c r="B56" s="33">
        <v>8116.31</v>
      </c>
      <c r="D56" s="37"/>
      <c r="H56" s="37"/>
      <c r="L56" s="37"/>
    </row>
    <row r="57" spans="1:15" ht="15.75" thickBot="1" x14ac:dyDescent="0.3">
      <c r="A57" t="s">
        <v>45</v>
      </c>
      <c r="B57" s="21">
        <v>10285.36</v>
      </c>
    </row>
    <row r="58" spans="1:15" ht="16.5" thickBot="1" x14ac:dyDescent="0.3">
      <c r="B58" s="21"/>
      <c r="E58" t="s">
        <v>65</v>
      </c>
      <c r="G58" s="48">
        <f>SUM(G48:G50)+SUM(G53:G55)</f>
        <v>3657.84</v>
      </c>
    </row>
    <row r="59" spans="1:15" x14ac:dyDescent="0.25">
      <c r="A59" t="s">
        <v>46</v>
      </c>
      <c r="B59" s="21">
        <f>B56-B57</f>
        <v>-2169.0500000000002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theme="7" tint="0.59999389629810485"/>
    <pageSetUpPr fitToPage="1"/>
  </sheetPr>
  <dimension ref="A1:P60"/>
  <sheetViews>
    <sheetView topLeftCell="A22" workbookViewId="0">
      <selection activeCell="F43" sqref="F43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43416</v>
      </c>
      <c r="C3" s="10"/>
      <c r="D3" s="9">
        <v>43417</v>
      </c>
      <c r="E3" s="10"/>
      <c r="F3" s="9">
        <v>43418</v>
      </c>
      <c r="G3" s="10"/>
      <c r="H3" s="9">
        <v>43419</v>
      </c>
      <c r="I3" s="10"/>
      <c r="J3" s="9">
        <v>43420</v>
      </c>
      <c r="K3" s="10"/>
      <c r="L3" s="9">
        <v>43421</v>
      </c>
      <c r="M3" s="10"/>
      <c r="N3" s="9">
        <v>43422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338.56</v>
      </c>
      <c r="E4" s="12"/>
      <c r="F4" s="12"/>
      <c r="G4" s="12"/>
      <c r="H4" s="12">
        <f>639.51-338.56</f>
        <v>300.95</v>
      </c>
      <c r="I4" s="12">
        <v>677.88</v>
      </c>
      <c r="J4" s="12"/>
      <c r="K4" s="12"/>
      <c r="L4" s="12"/>
      <c r="M4" s="12"/>
      <c r="N4" s="12"/>
      <c r="O4" s="12">
        <f>B4+D4+F4+H4+J4+L4+N4</f>
        <v>639.51</v>
      </c>
      <c r="P4" s="12">
        <f>C4+E4+G4+I4+K4+M4</f>
        <v>677.88</v>
      </c>
    </row>
    <row r="5" spans="1:16" ht="18.75" x14ac:dyDescent="0.3">
      <c r="A5" s="18" t="s">
        <v>11</v>
      </c>
      <c r="B5" s="13"/>
      <c r="C5" s="14"/>
      <c r="D5" s="14">
        <v>47.5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47.5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202.2</v>
      </c>
      <c r="G7" s="14"/>
      <c r="H7" s="14"/>
      <c r="I7" s="14"/>
      <c r="J7" s="14">
        <f>345.2-202.2</f>
        <v>143</v>
      </c>
      <c r="K7" s="14"/>
      <c r="L7" s="14"/>
      <c r="M7" s="14"/>
      <c r="N7" s="14"/>
      <c r="O7" s="12">
        <f t="shared" si="0"/>
        <v>345.2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143.5</v>
      </c>
      <c r="I9" s="14">
        <v>152.11000000000001</v>
      </c>
      <c r="J9" s="14"/>
      <c r="K9" s="14"/>
      <c r="L9" s="14"/>
      <c r="M9" s="14"/>
      <c r="N9" s="14"/>
      <c r="O9" s="12">
        <f t="shared" si="0"/>
        <v>143.5</v>
      </c>
      <c r="P9" s="12">
        <f t="shared" si="1"/>
        <v>152.11000000000001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465</v>
      </c>
      <c r="K13" s="14"/>
      <c r="L13" s="14"/>
      <c r="M13" s="14"/>
      <c r="N13" s="14"/>
      <c r="O13" s="12">
        <f t="shared" si="0"/>
        <v>465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89.3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89.3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189.75</v>
      </c>
      <c r="I15" s="14">
        <v>444.09</v>
      </c>
      <c r="J15" s="14"/>
      <c r="K15" s="14"/>
      <c r="L15" s="14"/>
      <c r="M15" s="14"/>
      <c r="N15" s="14"/>
      <c r="O15" s="12">
        <f t="shared" si="0"/>
        <v>189.75</v>
      </c>
      <c r="P15" s="12">
        <f t="shared" si="1"/>
        <v>444.09</v>
      </c>
    </row>
    <row r="16" spans="1:16" ht="18.75" x14ac:dyDescent="0.3">
      <c r="A16" s="19" t="s">
        <v>22</v>
      </c>
      <c r="B16" s="13"/>
      <c r="C16" s="14"/>
      <c r="D16" s="14">
        <v>109.45</v>
      </c>
      <c r="E16" s="14">
        <f>460+7.19</f>
        <v>467.19</v>
      </c>
      <c r="F16" s="14"/>
      <c r="G16" s="14"/>
      <c r="H16" s="14">
        <v>120.4</v>
      </c>
      <c r="I16" s="14"/>
      <c r="J16" s="14"/>
      <c r="K16" s="14"/>
      <c r="L16" s="14"/>
      <c r="M16" s="14"/>
      <c r="N16" s="14"/>
      <c r="O16" s="12">
        <f t="shared" si="0"/>
        <v>229.85000000000002</v>
      </c>
      <c r="P16" s="12">
        <f t="shared" si="1"/>
        <v>467.19</v>
      </c>
    </row>
    <row r="17" spans="1:16" ht="18.75" x14ac:dyDescent="0.3">
      <c r="A17" s="18" t="s">
        <v>23</v>
      </c>
      <c r="B17" s="13"/>
      <c r="C17" s="14"/>
      <c r="D17" s="14">
        <v>102.5</v>
      </c>
      <c r="E17" s="14"/>
      <c r="F17" s="14"/>
      <c r="G17" s="14"/>
      <c r="H17" s="14">
        <v>62</v>
      </c>
      <c r="I17" s="14"/>
      <c r="J17" s="14"/>
      <c r="K17" s="14"/>
      <c r="L17" s="14"/>
      <c r="M17" s="14"/>
      <c r="N17" s="14"/>
      <c r="O17" s="12">
        <f t="shared" si="0"/>
        <v>164.5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 t="s">
        <v>266</v>
      </c>
      <c r="D18" s="14"/>
      <c r="E18" s="14"/>
      <c r="F18" s="14">
        <v>119.35</v>
      </c>
      <c r="G18" s="14"/>
      <c r="H18" s="14"/>
      <c r="I18" s="14"/>
      <c r="J18" s="14">
        <f>279.7-119.25</f>
        <v>160.44999999999999</v>
      </c>
      <c r="K18" s="14">
        <v>673.78</v>
      </c>
      <c r="L18" s="14"/>
      <c r="M18" s="14"/>
      <c r="N18" s="14"/>
      <c r="O18" s="12">
        <f t="shared" si="0"/>
        <v>279.79999999999995</v>
      </c>
      <c r="P18" s="12" t="e">
        <f t="shared" si="1"/>
        <v>#VALUE!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30</v>
      </c>
      <c r="G23" s="17">
        <v>30</v>
      </c>
      <c r="H23" s="17">
        <v>26</v>
      </c>
      <c r="I23" s="17">
        <v>26</v>
      </c>
      <c r="J23" s="17"/>
      <c r="K23" s="17"/>
      <c r="L23" s="17"/>
      <c r="M23" s="17"/>
      <c r="N23" s="17"/>
      <c r="O23" s="49">
        <f t="shared" si="0"/>
        <v>56</v>
      </c>
      <c r="P23" s="49">
        <f t="shared" si="1"/>
        <v>56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598.01</v>
      </c>
      <c r="E24" s="21">
        <f t="shared" si="2"/>
        <v>467.19</v>
      </c>
      <c r="F24" s="21">
        <f t="shared" si="2"/>
        <v>440.85</v>
      </c>
      <c r="G24" s="21">
        <f t="shared" si="2"/>
        <v>30</v>
      </c>
      <c r="H24" s="21">
        <f t="shared" si="2"/>
        <v>842.6</v>
      </c>
      <c r="I24" s="21">
        <f t="shared" si="2"/>
        <v>1300.08</v>
      </c>
      <c r="J24" s="21">
        <f t="shared" si="2"/>
        <v>768.45</v>
      </c>
      <c r="K24" s="21">
        <f t="shared" si="2"/>
        <v>673.78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2649.91</v>
      </c>
      <c r="P24" s="50" t="e">
        <f t="shared" si="2"/>
        <v>#VALUE!</v>
      </c>
    </row>
    <row r="25" spans="1:16" ht="15.75" thickBot="1" x14ac:dyDescent="0.3">
      <c r="N25" t="s">
        <v>55</v>
      </c>
      <c r="O25" s="50">
        <f>SUM(B24+D24+F24+H24+J24+L24+N24)</f>
        <v>2649.91</v>
      </c>
      <c r="P25" s="50">
        <f>SUM(C24+E24+G24+I24+K24+M24)</f>
        <v>2471.0500000000002</v>
      </c>
    </row>
    <row r="26" spans="1:16" ht="15.75" thickBot="1" x14ac:dyDescent="0.3">
      <c r="A26" t="s">
        <v>27</v>
      </c>
      <c r="B26" s="22">
        <f>O24</f>
        <v>2649.91</v>
      </c>
      <c r="D26" s="5" t="s">
        <v>30</v>
      </c>
      <c r="E26" s="47">
        <f>B50*1.5</f>
        <v>4839.3822</v>
      </c>
    </row>
    <row r="27" spans="1:16" x14ac:dyDescent="0.25">
      <c r="A27" t="s">
        <v>28</v>
      </c>
      <c r="B27" s="22" t="e">
        <f>P24</f>
        <v>#VALUE!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2649.91</v>
      </c>
      <c r="H32" s="37"/>
      <c r="I32" s="26" t="s">
        <v>50</v>
      </c>
      <c r="J32" s="44">
        <f>'Sem 45'!J32+'Sem 46'!F32</f>
        <v>6916.96</v>
      </c>
      <c r="L32" s="37"/>
      <c r="M32" s="27" t="s">
        <v>50</v>
      </c>
      <c r="N32" s="45">
        <f>'Sem 45'!N32+'Sem 46'!F32</f>
        <v>31059.429999999997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3226.2547999999997</v>
      </c>
      <c r="H33" s="37"/>
      <c r="I33" s="26" t="s">
        <v>51</v>
      </c>
      <c r="J33" s="44">
        <f>'Sem 45'!J33+'Sem 46'!F33</f>
        <v>6261.2343999999994</v>
      </c>
      <c r="L33" s="37"/>
      <c r="M33" s="27" t="s">
        <v>51</v>
      </c>
      <c r="N33" s="45">
        <f>'Sem 45'!N33+'Sem 46'!F33</f>
        <v>24079.0304</v>
      </c>
    </row>
    <row r="34" spans="1:15" x14ac:dyDescent="0.25">
      <c r="A34" t="s">
        <v>34</v>
      </c>
      <c r="B34" s="29">
        <f>IF(C34="","",(C34*1.16)+3.75+10)</f>
        <v>1714.6347999999998</v>
      </c>
      <c r="C34" s="35">
        <v>1466.28</v>
      </c>
      <c r="D34" s="37"/>
      <c r="E34" s="25"/>
      <c r="F34" s="25"/>
      <c r="H34" s="37"/>
      <c r="I34" s="26"/>
      <c r="J34" s="44">
        <f>'Sem 45'!J34+'Sem 46'!F34</f>
        <v>0</v>
      </c>
      <c r="L34" s="37"/>
      <c r="M34" s="27"/>
      <c r="N34" s="45">
        <f>'Sem 45'!N34+'Sem 46'!F34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-576.34479999999985</v>
      </c>
      <c r="H35" s="37"/>
      <c r="I35" s="26" t="s">
        <v>52</v>
      </c>
      <c r="J35" s="44">
        <f>'Sem 45'!J35+'Sem 46'!F35</f>
        <v>655.72560000000067</v>
      </c>
      <c r="L35" s="37"/>
      <c r="M35" s="27" t="s">
        <v>52</v>
      </c>
      <c r="N35" s="45">
        <f>'Sem 45'!N35+'Sem 46'!F35</f>
        <v>6980.3996000000006</v>
      </c>
    </row>
    <row r="36" spans="1:15" x14ac:dyDescent="0.25">
      <c r="A36" t="s">
        <v>36</v>
      </c>
      <c r="B36" s="31">
        <v>1470.46</v>
      </c>
      <c r="D36" s="37"/>
      <c r="E36" s="25" t="s">
        <v>53</v>
      </c>
      <c r="F36" s="43">
        <f>(F32-F33)/F33</f>
        <v>-0.17864205889751791</v>
      </c>
      <c r="H36" s="37"/>
      <c r="I36" s="26" t="s">
        <v>53</v>
      </c>
      <c r="J36" s="52">
        <f>(J32-J33)/J33</f>
        <v>0.10472784727561082</v>
      </c>
      <c r="L36" s="37"/>
      <c r="M36" s="27" t="s">
        <v>53</v>
      </c>
      <c r="N36" s="53">
        <f>(N32-N33)/N33</f>
        <v>0.28989537718262931</v>
      </c>
    </row>
    <row r="37" spans="1:15" x14ac:dyDescent="0.25">
      <c r="A37" t="s">
        <v>37</v>
      </c>
      <c r="B37" s="31"/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H41" s="37"/>
      <c r="L41" s="37"/>
      <c r="M41" s="156" t="s">
        <v>218</v>
      </c>
      <c r="N41" s="157">
        <v>39</v>
      </c>
      <c r="O41" s="158"/>
    </row>
    <row r="42" spans="1:15" x14ac:dyDescent="0.25">
      <c r="A42" s="2" t="s">
        <v>39</v>
      </c>
      <c r="B42" s="21"/>
      <c r="D42" s="37"/>
      <c r="H42" s="37"/>
      <c r="L42" s="37"/>
      <c r="M42" s="156"/>
      <c r="N42" s="157">
        <v>12.45</v>
      </c>
      <c r="O42" s="158"/>
    </row>
    <row r="43" spans="1:15" x14ac:dyDescent="0.25">
      <c r="A43" t="s">
        <v>40</v>
      </c>
      <c r="B43" s="21">
        <f>N49</f>
        <v>41.160000000000004</v>
      </c>
      <c r="D43" s="37"/>
      <c r="H43" s="37"/>
      <c r="L43" s="37"/>
      <c r="M43" s="156"/>
      <c r="N43" s="157"/>
      <c r="O43" s="158"/>
    </row>
    <row r="44" spans="1:15" x14ac:dyDescent="0.25">
      <c r="A44" s="6"/>
      <c r="B44" s="21"/>
      <c r="D44" s="37"/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2649.91</v>
      </c>
      <c r="L48" s="37"/>
      <c r="M48" s="156" t="s">
        <v>219</v>
      </c>
      <c r="N48" s="157">
        <f>SUM(N41:N47)</f>
        <v>51.45</v>
      </c>
      <c r="O48" s="158"/>
    </row>
    <row r="49" spans="1:15" ht="15.75" thickBot="1" x14ac:dyDescent="0.3">
      <c r="B49" s="21"/>
      <c r="D49" s="37"/>
      <c r="G49" s="40">
        <v>1381.22</v>
      </c>
      <c r="H49" s="37"/>
      <c r="L49" s="37"/>
      <c r="M49" s="156" t="s">
        <v>220</v>
      </c>
      <c r="N49" s="157">
        <f>N48*0.8</f>
        <v>41.160000000000004</v>
      </c>
      <c r="O49" s="158"/>
    </row>
    <row r="50" spans="1:15" ht="15.75" thickBot="1" x14ac:dyDescent="0.3">
      <c r="A50" t="s">
        <v>42</v>
      </c>
      <c r="B50" s="33">
        <f>SUM(B33:B48)</f>
        <v>3226.2547999999997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10.29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2649.91</v>
      </c>
      <c r="K51" s="41">
        <f>J51/K48</f>
        <v>1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1540.16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0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/>
      <c r="H55" s="37"/>
      <c r="L55" s="37"/>
    </row>
    <row r="56" spans="1:15" ht="15.75" thickBot="1" x14ac:dyDescent="0.3">
      <c r="A56" t="s">
        <v>44</v>
      </c>
      <c r="B56" s="33">
        <v>6541.29</v>
      </c>
      <c r="D56" s="37"/>
      <c r="H56" s="37"/>
      <c r="L56" s="37"/>
    </row>
    <row r="57" spans="1:15" ht="15.75" thickBot="1" x14ac:dyDescent="0.3">
      <c r="A57" t="s">
        <v>45</v>
      </c>
      <c r="B57" s="21">
        <v>8116.31</v>
      </c>
    </row>
    <row r="58" spans="1:15" ht="16.5" thickBot="1" x14ac:dyDescent="0.3">
      <c r="B58" s="21"/>
      <c r="E58" t="s">
        <v>65</v>
      </c>
      <c r="G58" s="48">
        <f>SUM(G48:G50)+SUM(G53:G55)</f>
        <v>2921.38</v>
      </c>
    </row>
    <row r="59" spans="1:15" x14ac:dyDescent="0.25">
      <c r="A59" t="s">
        <v>46</v>
      </c>
      <c r="B59" s="21">
        <f>B56-B57</f>
        <v>-1575.0200000000004</v>
      </c>
    </row>
    <row r="60" spans="1:15" x14ac:dyDescent="0.25">
      <c r="B60" t="s">
        <v>231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theme="7" tint="0.59999389629810485"/>
    <pageSetUpPr fitToPage="1"/>
  </sheetPr>
  <dimension ref="A1:P59"/>
  <sheetViews>
    <sheetView topLeftCell="A25" workbookViewId="0">
      <selection activeCell="G40" sqref="G4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43423</v>
      </c>
      <c r="C3" s="10"/>
      <c r="D3" s="9">
        <v>43424</v>
      </c>
      <c r="E3" s="10"/>
      <c r="F3" s="9">
        <v>43425</v>
      </c>
      <c r="G3" s="10"/>
      <c r="H3" s="9">
        <v>43426</v>
      </c>
      <c r="I3" s="10"/>
      <c r="J3" s="9">
        <v>43427</v>
      </c>
      <c r="K3" s="10"/>
      <c r="L3" s="9">
        <v>43428</v>
      </c>
      <c r="M3" s="10"/>
      <c r="N3" s="9">
        <v>43429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>
        <v>172.25</v>
      </c>
      <c r="F4" s="12"/>
      <c r="G4" s="12"/>
      <c r="H4" s="12">
        <f>357.2-172.25+37.86</f>
        <v>222.81</v>
      </c>
      <c r="I4" s="12">
        <v>424.44</v>
      </c>
      <c r="J4" s="12"/>
      <c r="K4" s="12"/>
      <c r="L4" s="12"/>
      <c r="M4" s="12"/>
      <c r="N4" s="12"/>
      <c r="O4" s="12">
        <f>B4+D4+F4+H4+J4+L4+N4</f>
        <v>222.81</v>
      </c>
      <c r="P4" s="12">
        <f>C4+E4+G4+I4+K4+M4</f>
        <v>596.69000000000005</v>
      </c>
    </row>
    <row r="5" spans="1:16" ht="18.75" x14ac:dyDescent="0.3">
      <c r="A5" s="58" t="s">
        <v>11</v>
      </c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>
        <f t="shared" ref="O5:O23" si="0">B5+D5+F5+H5+J5+L5+N5</f>
        <v>0</v>
      </c>
      <c r="P5" s="61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315</v>
      </c>
      <c r="E6" s="14">
        <v>390</v>
      </c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315</v>
      </c>
      <c r="P6" s="12">
        <f t="shared" si="1"/>
        <v>390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100.6</v>
      </c>
      <c r="G7" s="14"/>
      <c r="H7" s="14"/>
      <c r="I7" s="14"/>
      <c r="J7" s="14">
        <f>281.75-100.6</f>
        <v>181.15</v>
      </c>
      <c r="K7" s="14">
        <v>298.66000000000003</v>
      </c>
      <c r="L7" s="14"/>
      <c r="M7" s="14"/>
      <c r="N7" s="14"/>
      <c r="O7" s="12">
        <f t="shared" si="0"/>
        <v>281.75</v>
      </c>
      <c r="P7" s="12">
        <f t="shared" si="1"/>
        <v>298.66000000000003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309.75</v>
      </c>
      <c r="I9" s="14">
        <v>328.34</v>
      </c>
      <c r="J9" s="14"/>
      <c r="K9" s="14"/>
      <c r="L9" s="14"/>
      <c r="M9" s="14"/>
      <c r="N9" s="14"/>
      <c r="O9" s="12">
        <f t="shared" si="0"/>
        <v>309.75</v>
      </c>
      <c r="P9" s="12">
        <f t="shared" si="1"/>
        <v>328.34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402.05</v>
      </c>
      <c r="K13" s="14"/>
      <c r="L13" s="14"/>
      <c r="M13" s="14"/>
      <c r="N13" s="14"/>
      <c r="O13" s="12">
        <f t="shared" si="0"/>
        <v>402.05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36.049999999999997</v>
      </c>
      <c r="G14" s="14">
        <v>100.51</v>
      </c>
      <c r="H14" s="14"/>
      <c r="I14" s="14"/>
      <c r="J14" s="14">
        <f>133.35-36.05</f>
        <v>97.3</v>
      </c>
      <c r="K14" s="14">
        <f>100.51+141.35</f>
        <v>241.86</v>
      </c>
      <c r="L14" s="14"/>
      <c r="M14" s="14"/>
      <c r="N14" s="14"/>
      <c r="O14" s="12">
        <f t="shared" si="0"/>
        <v>133.35</v>
      </c>
      <c r="P14" s="12">
        <f t="shared" si="1"/>
        <v>342.37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>
        <v>249.15</v>
      </c>
      <c r="I15" s="14"/>
      <c r="J15" s="14"/>
      <c r="K15" s="14"/>
      <c r="L15" s="14"/>
      <c r="M15" s="14"/>
      <c r="N15" s="14"/>
      <c r="O15" s="12">
        <f t="shared" si="0"/>
        <v>249.15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v>71.2</v>
      </c>
      <c r="E16" s="14">
        <v>256.89</v>
      </c>
      <c r="F16" s="14"/>
      <c r="G16" s="14"/>
      <c r="H16" s="14">
        <v>146.44999999999999</v>
      </c>
      <c r="I16" s="14">
        <v>85.5</v>
      </c>
      <c r="J16" s="14"/>
      <c r="K16" s="14"/>
      <c r="L16" s="14"/>
      <c r="M16" s="14"/>
      <c r="N16" s="14"/>
      <c r="O16" s="12">
        <f t="shared" si="0"/>
        <v>217.64999999999998</v>
      </c>
      <c r="P16" s="12">
        <f t="shared" si="1"/>
        <v>342.39</v>
      </c>
    </row>
    <row r="17" spans="1:16" ht="18.75" x14ac:dyDescent="0.3">
      <c r="A17" s="18" t="s">
        <v>23</v>
      </c>
      <c r="B17" s="169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1">
        <f t="shared" si="0"/>
        <v>0</v>
      </c>
      <c r="P17" s="171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159.19999999999999</v>
      </c>
      <c r="G18" s="14"/>
      <c r="H18" s="14"/>
      <c r="I18" s="14"/>
      <c r="J18" s="14">
        <f>437.95-159.2+26.35</f>
        <v>305.10000000000002</v>
      </c>
      <c r="K18" s="14">
        <v>296.48</v>
      </c>
      <c r="L18" s="14"/>
      <c r="M18" s="14"/>
      <c r="N18" s="14"/>
      <c r="O18" s="12">
        <f t="shared" si="0"/>
        <v>464.3</v>
      </c>
      <c r="P18" s="12">
        <f t="shared" si="1"/>
        <v>296.48</v>
      </c>
    </row>
    <row r="19" spans="1:16" ht="18.75" x14ac:dyDescent="0.3">
      <c r="A19" s="20" t="s">
        <v>287</v>
      </c>
      <c r="B19" s="15"/>
      <c r="C19" s="14"/>
      <c r="D19" s="14"/>
      <c r="E19" s="14"/>
      <c r="F19" s="14">
        <v>53.3</v>
      </c>
      <c r="G19" s="14"/>
      <c r="H19" s="14"/>
      <c r="I19" s="14"/>
      <c r="J19" s="14"/>
      <c r="K19" s="14"/>
      <c r="L19" s="14"/>
      <c r="M19" s="14"/>
      <c r="N19" s="14"/>
      <c r="O19" s="12">
        <f t="shared" si="0"/>
        <v>53.3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>
        <v>70</v>
      </c>
      <c r="G23" s="17">
        <v>70</v>
      </c>
      <c r="H23" s="17">
        <v>144.80000000000001</v>
      </c>
      <c r="I23" s="17">
        <v>144.80000000000001</v>
      </c>
      <c r="J23" s="17"/>
      <c r="K23" s="17"/>
      <c r="L23" s="17"/>
      <c r="M23" s="17"/>
      <c r="N23" s="17"/>
      <c r="O23" s="49">
        <f t="shared" si="0"/>
        <v>214.8</v>
      </c>
      <c r="P23" s="49">
        <f t="shared" si="1"/>
        <v>214.8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386.2</v>
      </c>
      <c r="E24" s="21">
        <f t="shared" si="2"/>
        <v>819.14</v>
      </c>
      <c r="F24" s="21">
        <f t="shared" si="2"/>
        <v>419.15</v>
      </c>
      <c r="G24" s="21">
        <f t="shared" si="2"/>
        <v>170.51</v>
      </c>
      <c r="H24" s="21">
        <f t="shared" si="2"/>
        <v>1072.9599999999998</v>
      </c>
      <c r="I24" s="21">
        <f t="shared" si="2"/>
        <v>983.07999999999993</v>
      </c>
      <c r="J24" s="21">
        <f t="shared" si="2"/>
        <v>985.6</v>
      </c>
      <c r="K24" s="21">
        <f t="shared" si="2"/>
        <v>837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2863.9100000000003</v>
      </c>
      <c r="P24" s="50">
        <f t="shared" si="2"/>
        <v>2809.73</v>
      </c>
    </row>
    <row r="25" spans="1:16" ht="15.75" thickBot="1" x14ac:dyDescent="0.3">
      <c r="N25" t="s">
        <v>55</v>
      </c>
      <c r="O25" s="50">
        <f>SUM(B24+D24+F24+H24+J24+L24+N24)</f>
        <v>2863.91</v>
      </c>
      <c r="P25" s="50">
        <f>SUM(C24+E24+G24+I24+K24+M24)</f>
        <v>2809.73</v>
      </c>
    </row>
    <row r="26" spans="1:16" ht="15.75" thickBot="1" x14ac:dyDescent="0.3">
      <c r="A26" t="s">
        <v>27</v>
      </c>
      <c r="B26" s="22">
        <f>O24</f>
        <v>2863.9100000000003</v>
      </c>
      <c r="D26" s="5" t="s">
        <v>30</v>
      </c>
      <c r="E26" s="47">
        <f>B50*1.5</f>
        <v>1779.0419999999997</v>
      </c>
    </row>
    <row r="27" spans="1:16" x14ac:dyDescent="0.25">
      <c r="A27" t="s">
        <v>28</v>
      </c>
      <c r="B27" s="22">
        <f>P24</f>
        <v>2809.73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2863.9100000000003</v>
      </c>
      <c r="H32" s="37"/>
      <c r="I32" s="26" t="s">
        <v>50</v>
      </c>
      <c r="J32" s="44">
        <f>'Sem 46'!J32+'Sem 47'!F32</f>
        <v>9780.8700000000008</v>
      </c>
      <c r="L32" s="37"/>
      <c r="M32" s="27" t="s">
        <v>50</v>
      </c>
      <c r="N32" s="45">
        <f>'Sem 46'!N32+'Sem 47'!F32</f>
        <v>33923.339999999997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1186.0279999999998</v>
      </c>
      <c r="H33" s="37"/>
      <c r="I33" s="26" t="s">
        <v>51</v>
      </c>
      <c r="J33" s="44">
        <f>'Sem 46'!J33+'Sem 47'!F33</f>
        <v>7447.2623999999996</v>
      </c>
      <c r="L33" s="37"/>
      <c r="M33" s="27" t="s">
        <v>51</v>
      </c>
      <c r="N33" s="45">
        <f>'Sem 46'!N33+'Sem 47'!F33</f>
        <v>25265.058399999998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1677.8820000000005</v>
      </c>
      <c r="H35" s="37"/>
      <c r="I35" s="26" t="s">
        <v>52</v>
      </c>
      <c r="J35" s="44">
        <f>'Sem 46'!J35+'Sem 47'!F35</f>
        <v>2333.6076000000012</v>
      </c>
      <c r="L35" s="37"/>
      <c r="M35" s="27" t="s">
        <v>52</v>
      </c>
      <c r="N35" s="45">
        <f>'Sem 46'!N35+'Sem 47'!F35</f>
        <v>8658.2816000000021</v>
      </c>
    </row>
    <row r="36" spans="1:15" x14ac:dyDescent="0.25">
      <c r="A36" t="s">
        <v>36</v>
      </c>
      <c r="B36" s="31">
        <v>545.55999999999995</v>
      </c>
      <c r="D36" s="37"/>
      <c r="E36" s="25" t="s">
        <v>53</v>
      </c>
      <c r="F36" s="43">
        <f>(F32-F33)/F33</f>
        <v>1.4147069040528562</v>
      </c>
      <c r="H36" s="37"/>
      <c r="I36" s="26" t="s">
        <v>53</v>
      </c>
      <c r="J36" s="52">
        <f>(J32-J33)/J33</f>
        <v>0.31335106441260901</v>
      </c>
      <c r="L36" s="37"/>
      <c r="M36" s="27" t="s">
        <v>53</v>
      </c>
      <c r="N36" s="53">
        <f>(N32-N33)/N33</f>
        <v>0.34269786607736474</v>
      </c>
    </row>
    <row r="37" spans="1:15" x14ac:dyDescent="0.25">
      <c r="A37" t="s">
        <v>37</v>
      </c>
      <c r="B37" s="31">
        <v>589.1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E39" s="7" t="s">
        <v>306</v>
      </c>
      <c r="F39" s="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E41" s="25" t="s">
        <v>50</v>
      </c>
      <c r="F41" s="167">
        <f>'Sem 46'!F32+'Sem 47'!F32</f>
        <v>5513.82</v>
      </c>
      <c r="H41" s="37"/>
      <c r="L41" s="37"/>
      <c r="M41" s="156" t="s">
        <v>218</v>
      </c>
      <c r="N41" s="157">
        <v>37.86</v>
      </c>
      <c r="O41" s="158"/>
    </row>
    <row r="42" spans="1:15" x14ac:dyDescent="0.25">
      <c r="A42" s="2" t="s">
        <v>39</v>
      </c>
      <c r="B42" s="21"/>
      <c r="D42" s="37"/>
      <c r="E42" s="25" t="s">
        <v>51</v>
      </c>
      <c r="F42" s="167">
        <f>'Sem 46'!F33+'Sem 47'!F33</f>
        <v>4412.282799999999</v>
      </c>
      <c r="H42" s="37"/>
      <c r="L42" s="37"/>
      <c r="M42" s="156"/>
      <c r="N42" s="157">
        <v>26.35</v>
      </c>
      <c r="O42" s="158"/>
    </row>
    <row r="43" spans="1:15" x14ac:dyDescent="0.25">
      <c r="A43" t="s">
        <v>40</v>
      </c>
      <c r="B43" s="21">
        <f>N49</f>
        <v>51.368000000000009</v>
      </c>
      <c r="D43" s="37"/>
      <c r="E43" s="25"/>
      <c r="F43" s="167">
        <f>'Sem 46'!F34+'Sem 47'!F34</f>
        <v>0</v>
      </c>
      <c r="H43" s="37"/>
      <c r="L43" s="37"/>
      <c r="M43" s="156"/>
      <c r="N43" s="157"/>
      <c r="O43" s="158"/>
    </row>
    <row r="44" spans="1:15" x14ac:dyDescent="0.25">
      <c r="A44" s="6"/>
      <c r="B44" s="21"/>
      <c r="D44" s="37"/>
      <c r="E44" s="25" t="s">
        <v>52</v>
      </c>
      <c r="F44" s="167">
        <f>'Sem 46'!F35+'Sem 47'!F35</f>
        <v>1101.5372000000007</v>
      </c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E45" s="25" t="s">
        <v>53</v>
      </c>
      <c r="F45" s="168">
        <f>(F41-F42)/F42</f>
        <v>0.24965244748138105</v>
      </c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2863.9100000000003</v>
      </c>
      <c r="L48" s="37"/>
      <c r="M48" s="156" t="s">
        <v>219</v>
      </c>
      <c r="N48" s="157">
        <f>SUM(N41:N47)</f>
        <v>64.210000000000008</v>
      </c>
      <c r="O48" s="158"/>
    </row>
    <row r="49" spans="1:15" ht="15.75" thickBot="1" x14ac:dyDescent="0.3">
      <c r="B49" s="21"/>
      <c r="D49" s="37"/>
      <c r="G49" s="40"/>
      <c r="H49" s="37"/>
      <c r="L49" s="37"/>
      <c r="M49" s="156" t="s">
        <v>220</v>
      </c>
      <c r="N49" s="157">
        <f>N48*0.8</f>
        <v>51.368000000000009</v>
      </c>
      <c r="O49" s="158"/>
    </row>
    <row r="50" spans="1:15" ht="15.75" thickBot="1" x14ac:dyDescent="0.3">
      <c r="A50" t="s">
        <v>42</v>
      </c>
      <c r="B50" s="33">
        <f>SUM(B33:B48)</f>
        <v>1186.0279999999998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12.841999999999999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2863.9100000000003</v>
      </c>
      <c r="K51" s="41">
        <f>J51/K48</f>
        <v>1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562.5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94.256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859.94</v>
      </c>
      <c r="H55" s="37"/>
      <c r="L55" s="37"/>
    </row>
    <row r="56" spans="1:15" ht="15.75" thickBot="1" x14ac:dyDescent="0.3">
      <c r="A56" t="s">
        <v>44</v>
      </c>
      <c r="B56" s="33">
        <v>6247.45</v>
      </c>
      <c r="D56" s="37"/>
      <c r="H56" s="37"/>
      <c r="L56" s="37"/>
    </row>
    <row r="57" spans="1:15" ht="15.75" thickBot="1" x14ac:dyDescent="0.3">
      <c r="A57" t="s">
        <v>45</v>
      </c>
      <c r="B57" s="21">
        <f>'Sem 46'!B56</f>
        <v>6541.29</v>
      </c>
    </row>
    <row r="58" spans="1:15" ht="16.5" thickBot="1" x14ac:dyDescent="0.3">
      <c r="B58" s="21"/>
      <c r="E58" t="s">
        <v>65</v>
      </c>
      <c r="G58" s="48">
        <f>SUM(G48:G50)+SUM(G53:G55)</f>
        <v>1422.44</v>
      </c>
    </row>
    <row r="59" spans="1:15" x14ac:dyDescent="0.25">
      <c r="A59" t="s">
        <v>46</v>
      </c>
      <c r="B59" s="21">
        <f>B56-B57</f>
        <v>-293.84000000000015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7" tint="0.59999389629810485"/>
    <pageSetUpPr fitToPage="1"/>
  </sheetPr>
  <dimension ref="A1:P59"/>
  <sheetViews>
    <sheetView topLeftCell="A25" workbookViewId="0">
      <selection activeCell="B60" sqref="B6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43430</v>
      </c>
      <c r="C3" s="10"/>
      <c r="D3" s="9">
        <v>43431</v>
      </c>
      <c r="E3" s="10"/>
      <c r="F3" s="9">
        <v>43432</v>
      </c>
      <c r="G3" s="10"/>
      <c r="H3" s="9">
        <v>43433</v>
      </c>
      <c r="I3" s="10"/>
      <c r="J3" s="9">
        <v>43434</v>
      </c>
      <c r="K3" s="10"/>
      <c r="L3" s="9">
        <v>43435</v>
      </c>
      <c r="M3" s="10"/>
      <c r="N3" s="9">
        <v>43436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318.5</v>
      </c>
      <c r="E4" s="12"/>
      <c r="F4" s="12"/>
      <c r="G4" s="12"/>
      <c r="H4" s="12">
        <f>606.75-318.5</f>
        <v>288.25</v>
      </c>
      <c r="I4" s="12">
        <v>643.16</v>
      </c>
      <c r="J4" s="12"/>
      <c r="K4" s="12"/>
      <c r="L4" s="12"/>
      <c r="M4" s="12"/>
      <c r="N4" s="12"/>
      <c r="O4" s="12">
        <f>B4+D4+F4+H4+J4+L4+N4</f>
        <v>606.75</v>
      </c>
      <c r="P4" s="12">
        <f>C4+E4+G4+I4+K4+M4</f>
        <v>643.16</v>
      </c>
    </row>
    <row r="5" spans="1:16" ht="18.75" x14ac:dyDescent="0.3">
      <c r="A5" s="58" t="s">
        <v>11</v>
      </c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>
        <f t="shared" ref="O5:O23" si="0">B5+D5+F5+H5+J5+L5+N5</f>
        <v>0</v>
      </c>
      <c r="P5" s="61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>
        <v>200.75</v>
      </c>
      <c r="E6" s="14">
        <v>255.63</v>
      </c>
      <c r="F6" s="14"/>
      <c r="G6" s="14"/>
      <c r="H6" s="14">
        <v>400.7</v>
      </c>
      <c r="I6" s="14"/>
      <c r="J6" s="14"/>
      <c r="K6" s="14"/>
      <c r="L6" s="14"/>
      <c r="M6" s="14"/>
      <c r="N6" s="14"/>
      <c r="O6" s="12">
        <f t="shared" si="0"/>
        <v>601.45000000000005</v>
      </c>
      <c r="P6" s="12">
        <f t="shared" si="1"/>
        <v>255.63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388.5</v>
      </c>
      <c r="G7" s="14"/>
      <c r="H7" s="14"/>
      <c r="I7" s="14"/>
      <c r="J7" s="14">
        <f>537-388.5</f>
        <v>148.5</v>
      </c>
      <c r="K7" s="14">
        <v>569.22</v>
      </c>
      <c r="L7" s="14"/>
      <c r="M7" s="14"/>
      <c r="N7" s="14"/>
      <c r="O7" s="12">
        <f t="shared" si="0"/>
        <v>537</v>
      </c>
      <c r="P7" s="12">
        <f t="shared" si="1"/>
        <v>569.22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567.99</v>
      </c>
      <c r="K13" s="14"/>
      <c r="L13" s="14"/>
      <c r="M13" s="14"/>
      <c r="N13" s="14"/>
      <c r="O13" s="12">
        <f t="shared" si="0"/>
        <v>567.99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59.3</v>
      </c>
      <c r="G14" s="14"/>
      <c r="H14" s="14"/>
      <c r="I14" s="14"/>
      <c r="J14" s="14"/>
      <c r="K14" s="14"/>
      <c r="L14" s="14"/>
      <c r="M14" s="14"/>
      <c r="N14" s="14"/>
      <c r="O14" s="12">
        <f t="shared" si="0"/>
        <v>59.3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178.65</v>
      </c>
      <c r="E15" s="14">
        <v>244.1</v>
      </c>
      <c r="F15" s="14"/>
      <c r="G15" s="14"/>
      <c r="H15" s="14">
        <v>88.75</v>
      </c>
      <c r="I15" s="14"/>
      <c r="J15" s="14"/>
      <c r="K15" s="14"/>
      <c r="L15" s="14"/>
      <c r="M15" s="14"/>
      <c r="N15" s="14"/>
      <c r="O15" s="12">
        <f t="shared" si="0"/>
        <v>267.39999999999998</v>
      </c>
      <c r="P15" s="12">
        <f t="shared" si="1"/>
        <v>244.1</v>
      </c>
    </row>
    <row r="16" spans="1:16" ht="18.75" x14ac:dyDescent="0.3">
      <c r="A16" s="19" t="s">
        <v>22</v>
      </c>
      <c r="B16" s="13"/>
      <c r="C16" s="14"/>
      <c r="D16" s="14">
        <v>60.75</v>
      </c>
      <c r="E16" s="14">
        <v>230.71</v>
      </c>
      <c r="F16" s="14"/>
      <c r="G16" s="14"/>
      <c r="H16" s="14">
        <v>104.65</v>
      </c>
      <c r="I16" s="14"/>
      <c r="J16" s="14"/>
      <c r="K16" s="14"/>
      <c r="L16" s="14"/>
      <c r="M16" s="14"/>
      <c r="N16" s="14"/>
      <c r="O16" s="12">
        <f t="shared" si="0"/>
        <v>165.4</v>
      </c>
      <c r="P16" s="12">
        <f t="shared" si="1"/>
        <v>230.71</v>
      </c>
    </row>
    <row r="17" spans="1:16" ht="18.75" x14ac:dyDescent="0.3">
      <c r="A17" s="18" t="s">
        <v>23</v>
      </c>
      <c r="B17" s="13"/>
      <c r="C17" s="14"/>
      <c r="D17" s="14">
        <v>176.5</v>
      </c>
      <c r="E17" s="14"/>
      <c r="F17" s="14"/>
      <c r="G17" s="14"/>
      <c r="H17" s="14">
        <v>541.61</v>
      </c>
      <c r="I17" s="14"/>
      <c r="J17" s="14"/>
      <c r="K17" s="14"/>
      <c r="L17" s="14"/>
      <c r="M17" s="14"/>
      <c r="N17" s="14"/>
      <c r="O17" s="12">
        <f t="shared" si="0"/>
        <v>718.11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51.5</v>
      </c>
      <c r="G18" s="14"/>
      <c r="H18" s="14"/>
      <c r="I18" s="14"/>
      <c r="J18" s="14">
        <f>199.5-51.5</f>
        <v>148</v>
      </c>
      <c r="K18" s="14">
        <v>496.11</v>
      </c>
      <c r="L18" s="14"/>
      <c r="M18" s="14"/>
      <c r="N18" s="14"/>
      <c r="O18" s="12">
        <f t="shared" si="0"/>
        <v>199.5</v>
      </c>
      <c r="P18" s="12">
        <f t="shared" si="1"/>
        <v>496.11</v>
      </c>
    </row>
    <row r="19" spans="1:16" ht="18.75" x14ac:dyDescent="0.3">
      <c r="A19" s="20" t="s">
        <v>307</v>
      </c>
      <c r="B19" s="15"/>
      <c r="C19" s="14"/>
      <c r="D19" s="14">
        <v>62</v>
      </c>
      <c r="E19" s="14"/>
      <c r="F19" s="14"/>
      <c r="G19" s="14"/>
      <c r="H19" s="14">
        <v>95.65</v>
      </c>
      <c r="I19" s="14"/>
      <c r="J19" s="14"/>
      <c r="K19" s="14"/>
      <c r="L19" s="14"/>
      <c r="M19" s="14"/>
      <c r="N19" s="14"/>
      <c r="O19" s="12">
        <f t="shared" si="0"/>
        <v>157.65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>
        <v>110</v>
      </c>
      <c r="E23" s="17">
        <v>110</v>
      </c>
      <c r="F23" s="17">
        <v>160</v>
      </c>
      <c r="G23" s="17">
        <v>160</v>
      </c>
      <c r="H23" s="17">
        <v>161</v>
      </c>
      <c r="I23" s="17">
        <v>161</v>
      </c>
      <c r="J23" s="17">
        <v>30</v>
      </c>
      <c r="K23" s="17">
        <v>30</v>
      </c>
      <c r="L23" s="17"/>
      <c r="M23" s="17"/>
      <c r="N23" s="17"/>
      <c r="O23" s="49">
        <f t="shared" si="0"/>
        <v>461</v>
      </c>
      <c r="P23" s="49">
        <f t="shared" si="1"/>
        <v>461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1107.1500000000001</v>
      </c>
      <c r="E24" s="21">
        <f t="shared" si="2"/>
        <v>840.44</v>
      </c>
      <c r="F24" s="21">
        <f t="shared" si="2"/>
        <v>659.3</v>
      </c>
      <c r="G24" s="21">
        <f t="shared" si="2"/>
        <v>160</v>
      </c>
      <c r="H24" s="21">
        <f t="shared" si="2"/>
        <v>1680.6100000000001</v>
      </c>
      <c r="I24" s="21">
        <f t="shared" si="2"/>
        <v>804.16</v>
      </c>
      <c r="J24" s="21">
        <f t="shared" si="2"/>
        <v>894.49</v>
      </c>
      <c r="K24" s="21">
        <f t="shared" si="2"/>
        <v>1095.33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4341.5500000000011</v>
      </c>
      <c r="P24" s="50">
        <f t="shared" si="2"/>
        <v>2899.93</v>
      </c>
    </row>
    <row r="25" spans="1:16" ht="15.75" thickBot="1" x14ac:dyDescent="0.3">
      <c r="N25" t="s">
        <v>55</v>
      </c>
      <c r="O25" s="50">
        <f>SUM(B24+D24+F24+H24+J24+L24+N24)</f>
        <v>4341.55</v>
      </c>
      <c r="P25" s="50">
        <f>SUM(C24+E24+G24+I24+K24+M24)</f>
        <v>2899.93</v>
      </c>
    </row>
    <row r="26" spans="1:16" ht="15.75" thickBot="1" x14ac:dyDescent="0.3">
      <c r="A26" t="s">
        <v>27</v>
      </c>
      <c r="B26" s="22">
        <f>O24</f>
        <v>4341.5500000000011</v>
      </c>
      <c r="D26" s="5" t="s">
        <v>30</v>
      </c>
      <c r="E26" s="47">
        <f>B50*1.5</f>
        <v>5164.9937999999993</v>
      </c>
    </row>
    <row r="27" spans="1:16" x14ac:dyDescent="0.25">
      <c r="A27" t="s">
        <v>28</v>
      </c>
      <c r="B27" s="22">
        <f>P24</f>
        <v>2899.93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4341.5500000000011</v>
      </c>
      <c r="H32" s="37"/>
      <c r="I32" s="26" t="s">
        <v>50</v>
      </c>
      <c r="J32" s="44">
        <f>'Sem 47'!J32+'Sem 48'!F32</f>
        <v>14122.420000000002</v>
      </c>
      <c r="L32" s="37"/>
      <c r="M32" s="27" t="s">
        <v>50</v>
      </c>
      <c r="N32" s="45">
        <f>'Sem 47'!N32+'Sem 48'!F32</f>
        <v>38264.89</v>
      </c>
    </row>
    <row r="33" spans="1:15" x14ac:dyDescent="0.25">
      <c r="A33" t="s">
        <v>33</v>
      </c>
      <c r="B33" s="28">
        <f>IF(C33="","",(C33*1.16)+3.75+10)</f>
        <v>1831.8411999999998</v>
      </c>
      <c r="C33" s="34">
        <v>1567.32</v>
      </c>
      <c r="D33" s="37"/>
      <c r="E33" s="25" t="s">
        <v>51</v>
      </c>
      <c r="F33" s="42">
        <f>B50</f>
        <v>3443.3291999999997</v>
      </c>
      <c r="H33" s="37"/>
      <c r="I33" s="26" t="s">
        <v>51</v>
      </c>
      <c r="J33" s="44">
        <f>'Sem 47'!J33+'Sem 48'!F33</f>
        <v>10890.5916</v>
      </c>
      <c r="L33" s="37"/>
      <c r="M33" s="27" t="s">
        <v>51</v>
      </c>
      <c r="N33" s="45">
        <f>'Sem 47'!N33+'Sem 48'!F33</f>
        <v>28708.387599999998</v>
      </c>
    </row>
    <row r="34" spans="1:15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>
        <f>'Sem 47'!J34+'Sem 48'!F34</f>
        <v>0</v>
      </c>
      <c r="L34" s="37"/>
      <c r="M34" s="27"/>
      <c r="N34" s="45">
        <f>'Sem 47'!N34+'Sem 48'!F34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898.22080000000142</v>
      </c>
      <c r="H35" s="37"/>
      <c r="I35" s="26" t="s">
        <v>52</v>
      </c>
      <c r="J35" s="44">
        <f>'Sem 47'!J35+'Sem 48'!F35</f>
        <v>3231.8284000000026</v>
      </c>
      <c r="L35" s="37"/>
      <c r="M35" s="27" t="s">
        <v>52</v>
      </c>
      <c r="N35" s="45">
        <f>'Sem 47'!N35+'Sem 48'!F35</f>
        <v>9556.502400000003</v>
      </c>
    </row>
    <row r="36" spans="1:15" x14ac:dyDescent="0.25">
      <c r="A36" t="s">
        <v>36</v>
      </c>
      <c r="B36" s="31">
        <v>908.7</v>
      </c>
      <c r="D36" s="37"/>
      <c r="E36" s="25" t="s">
        <v>53</v>
      </c>
      <c r="F36" s="43">
        <f>(F32-F33)/F33</f>
        <v>0.26085824149488857</v>
      </c>
      <c r="H36" s="37"/>
      <c r="I36" s="26" t="s">
        <v>53</v>
      </c>
      <c r="J36" s="52">
        <f>(J32-J33)/J33</f>
        <v>0.29675416347446198</v>
      </c>
      <c r="L36" s="37"/>
      <c r="M36" s="27" t="s">
        <v>53</v>
      </c>
      <c r="N36" s="53">
        <f>(N32-N33)/N33</f>
        <v>0.33288189267724677</v>
      </c>
    </row>
    <row r="37" spans="1:15" x14ac:dyDescent="0.25">
      <c r="A37" t="s">
        <v>37</v>
      </c>
      <c r="B37" s="31">
        <v>662.3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H41" s="37"/>
      <c r="L41" s="37"/>
      <c r="M41" s="156" t="s">
        <v>218</v>
      </c>
      <c r="N41" s="157">
        <v>50.61</v>
      </c>
      <c r="O41" s="158"/>
    </row>
    <row r="42" spans="1:15" x14ac:dyDescent="0.25">
      <c r="A42" s="2" t="s">
        <v>39</v>
      </c>
      <c r="B42" s="21"/>
      <c r="D42" s="37"/>
      <c r="H42" s="37"/>
      <c r="L42" s="37"/>
      <c r="M42" s="156"/>
      <c r="N42" s="157"/>
      <c r="O42" s="158"/>
    </row>
    <row r="43" spans="1:15" x14ac:dyDescent="0.25">
      <c r="A43" t="s">
        <v>40</v>
      </c>
      <c r="B43" s="21">
        <f>N49</f>
        <v>40.488</v>
      </c>
      <c r="D43" s="37"/>
      <c r="H43" s="37"/>
      <c r="L43" s="37"/>
      <c r="M43" s="156"/>
      <c r="N43" s="157"/>
      <c r="O43" s="158"/>
    </row>
    <row r="44" spans="1:15" x14ac:dyDescent="0.25">
      <c r="A44" s="6"/>
      <c r="B44" s="21"/>
      <c r="D44" s="37"/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>
        <v>2132.6</v>
      </c>
      <c r="H48" s="37"/>
      <c r="I48" s="38" t="s">
        <v>61</v>
      </c>
      <c r="J48" s="38"/>
      <c r="K48" s="39">
        <f>F32</f>
        <v>4341.5500000000011</v>
      </c>
      <c r="L48" s="37"/>
      <c r="M48" s="156" t="s">
        <v>219</v>
      </c>
      <c r="N48" s="157">
        <f>SUM(N41:N47)</f>
        <v>50.61</v>
      </c>
      <c r="O48" s="158"/>
    </row>
    <row r="49" spans="1:15" ht="15.75" thickBot="1" x14ac:dyDescent="0.3">
      <c r="B49" s="21"/>
      <c r="D49" s="37"/>
      <c r="G49" s="40"/>
      <c r="H49" s="37"/>
      <c r="L49" s="37"/>
      <c r="M49" s="156" t="s">
        <v>220</v>
      </c>
      <c r="N49" s="157">
        <f>N48*0.8</f>
        <v>40.488</v>
      </c>
      <c r="O49" s="158"/>
    </row>
    <row r="50" spans="1:15" ht="15.75" thickBot="1" x14ac:dyDescent="0.3">
      <c r="A50" t="s">
        <v>42</v>
      </c>
      <c r="B50" s="33">
        <f>SUM(B33:B48)</f>
        <v>3443.3291999999997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10.122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4341.5500000000011</v>
      </c>
      <c r="K51" s="41">
        <f>J51/K48</f>
        <v>1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1382.08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105.96799999999999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775.35</v>
      </c>
      <c r="H55" s="37"/>
      <c r="L55" s="37"/>
    </row>
    <row r="56" spans="1:15" ht="15.75" thickBot="1" x14ac:dyDescent="0.3">
      <c r="A56" t="s">
        <v>44</v>
      </c>
      <c r="B56" s="33">
        <v>6979.66</v>
      </c>
      <c r="D56" s="37"/>
      <c r="H56" s="37"/>
      <c r="L56" s="37"/>
    </row>
    <row r="57" spans="1:15" ht="15.75" thickBot="1" x14ac:dyDescent="0.3">
      <c r="A57" t="s">
        <v>45</v>
      </c>
      <c r="B57" s="21">
        <f>'Sem 47'!B56</f>
        <v>6247.45</v>
      </c>
    </row>
    <row r="58" spans="1:15" ht="16.5" thickBot="1" x14ac:dyDescent="0.3">
      <c r="B58" s="21"/>
      <c r="E58" t="s">
        <v>65</v>
      </c>
      <c r="G58" s="48">
        <f>SUM(G48:G50)+SUM(G53:G55)</f>
        <v>4290.03</v>
      </c>
    </row>
    <row r="59" spans="1:15" x14ac:dyDescent="0.25">
      <c r="A59" t="s">
        <v>46</v>
      </c>
      <c r="B59" s="21">
        <f>B56-B57</f>
        <v>732.21</v>
      </c>
      <c r="C59" t="s">
        <v>207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theme="7" tint="0.59999389629810485"/>
    <pageSetUpPr fitToPage="1"/>
  </sheetPr>
  <dimension ref="A1:P59"/>
  <sheetViews>
    <sheetView topLeftCell="A13" workbookViewId="0">
      <selection activeCell="F17" sqref="F17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43437</v>
      </c>
      <c r="C3" s="10"/>
      <c r="D3" s="9">
        <v>43438</v>
      </c>
      <c r="E3" s="10"/>
      <c r="F3" s="9">
        <v>43439</v>
      </c>
      <c r="G3" s="10"/>
      <c r="H3" s="9">
        <v>43440</v>
      </c>
      <c r="I3" s="10"/>
      <c r="J3" s="9">
        <v>43441</v>
      </c>
      <c r="K3" s="10"/>
      <c r="L3" s="9">
        <v>43442</v>
      </c>
      <c r="M3" s="10"/>
      <c r="N3" s="9">
        <v>43443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>
        <f>275</f>
        <v>275</v>
      </c>
      <c r="I4" s="12">
        <v>291.5</v>
      </c>
      <c r="J4" s="12"/>
      <c r="K4" s="12"/>
      <c r="L4" s="12"/>
      <c r="M4" s="12"/>
      <c r="N4" s="12"/>
      <c r="O4" s="12">
        <f>B4+D4+F4+H4+J4+L4+N4</f>
        <v>275</v>
      </c>
      <c r="P4" s="12">
        <f>C4+E4+G4+I4+K4+M4</f>
        <v>291.5</v>
      </c>
    </row>
    <row r="5" spans="1:16" ht="18.75" x14ac:dyDescent="0.3">
      <c r="A5" s="58" t="s">
        <v>11</v>
      </c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>
        <f t="shared" ref="O5:O23" si="0">B5+D5+F5+H5+J5+L5+N5</f>
        <v>0</v>
      </c>
      <c r="P5" s="61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275.16000000000003</v>
      </c>
      <c r="I6" s="14">
        <v>250</v>
      </c>
      <c r="J6" s="14"/>
      <c r="K6" s="14"/>
      <c r="L6" s="14"/>
      <c r="M6" s="14"/>
      <c r="N6" s="14"/>
      <c r="O6" s="12">
        <f t="shared" si="0"/>
        <v>275.16000000000003</v>
      </c>
      <c r="P6" s="12">
        <f t="shared" si="1"/>
        <v>250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188.8</v>
      </c>
      <c r="G7" s="14"/>
      <c r="H7" s="14"/>
      <c r="I7" s="14"/>
      <c r="J7" s="14">
        <f>458.5-188.8</f>
        <v>269.7</v>
      </c>
      <c r="K7" s="14">
        <v>486.01</v>
      </c>
      <c r="L7" s="14"/>
      <c r="M7" s="14"/>
      <c r="N7" s="14"/>
      <c r="O7" s="12">
        <f t="shared" si="0"/>
        <v>458.5</v>
      </c>
      <c r="P7" s="12">
        <f t="shared" si="1"/>
        <v>486.01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>
        <v>187.32</v>
      </c>
      <c r="G9" s="14"/>
      <c r="H9" s="14">
        <f>347.07-187.32</f>
        <v>159.75</v>
      </c>
      <c r="I9" s="14">
        <v>367.89</v>
      </c>
      <c r="J9" s="14"/>
      <c r="K9" s="14"/>
      <c r="L9" s="14"/>
      <c r="M9" s="14"/>
      <c r="N9" s="14"/>
      <c r="O9" s="12">
        <f t="shared" si="0"/>
        <v>347.07</v>
      </c>
      <c r="P9" s="12">
        <f t="shared" si="1"/>
        <v>367.89</v>
      </c>
    </row>
    <row r="10" spans="1:16" ht="18.75" x14ac:dyDescent="0.3">
      <c r="A10" s="176" t="s">
        <v>16</v>
      </c>
      <c r="B10" s="177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9">
        <f t="shared" si="0"/>
        <v>0</v>
      </c>
      <c r="P10" s="179">
        <f t="shared" si="1"/>
        <v>0</v>
      </c>
    </row>
    <row r="11" spans="1:16" ht="18.75" x14ac:dyDescent="0.3">
      <c r="A11" s="176" t="s">
        <v>17</v>
      </c>
      <c r="B11" s="177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9">
        <f t="shared" si="0"/>
        <v>0</v>
      </c>
      <c r="P11" s="179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513.41</v>
      </c>
      <c r="K13" s="14"/>
      <c r="L13" s="14"/>
      <c r="M13" s="14"/>
      <c r="N13" s="14"/>
      <c r="O13" s="12">
        <f t="shared" si="0"/>
        <v>513.41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>
        <v>125.3</v>
      </c>
      <c r="K14" s="14"/>
      <c r="L14" s="14"/>
      <c r="M14" s="14"/>
      <c r="N14" s="14"/>
      <c r="O14" s="12">
        <f t="shared" si="0"/>
        <v>125.3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>
        <v>209.04</v>
      </c>
      <c r="G15" s="14"/>
      <c r="H15" s="14">
        <v>126.99</v>
      </c>
      <c r="I15" s="14"/>
      <c r="J15" s="14"/>
      <c r="K15" s="14"/>
      <c r="L15" s="14"/>
      <c r="M15" s="14"/>
      <c r="N15" s="14"/>
      <c r="O15" s="12">
        <f t="shared" si="0"/>
        <v>336.03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v>82.75</v>
      </c>
      <c r="E16" s="14">
        <v>145</v>
      </c>
      <c r="F16" s="14"/>
      <c r="G16" s="14"/>
      <c r="H16" s="14">
        <v>146.65</v>
      </c>
      <c r="I16" s="14">
        <v>30.32</v>
      </c>
      <c r="J16" s="14"/>
      <c r="K16" s="14"/>
      <c r="L16" s="14"/>
      <c r="M16" s="14"/>
      <c r="N16" s="14"/>
      <c r="O16" s="12">
        <f t="shared" si="0"/>
        <v>229.4</v>
      </c>
      <c r="P16" s="12">
        <f t="shared" si="1"/>
        <v>175.32</v>
      </c>
    </row>
    <row r="17" spans="1:16" ht="18.75" x14ac:dyDescent="0.3">
      <c r="A17" s="18" t="s">
        <v>23</v>
      </c>
      <c r="B17" s="13"/>
      <c r="C17" s="14"/>
      <c r="D17" s="14">
        <v>70</v>
      </c>
      <c r="E17" s="14"/>
      <c r="F17" s="14"/>
      <c r="G17" s="14"/>
      <c r="H17" s="14">
        <v>306.42</v>
      </c>
      <c r="I17" s="14"/>
      <c r="J17" s="14"/>
      <c r="K17" s="14"/>
      <c r="L17" s="14"/>
      <c r="M17" s="14"/>
      <c r="N17" s="14"/>
      <c r="O17" s="12">
        <f t="shared" si="0"/>
        <v>376.42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194.3</v>
      </c>
      <c r="G18" s="14">
        <v>211.68</v>
      </c>
      <c r="H18" s="14"/>
      <c r="I18" s="14"/>
      <c r="J18" s="14">
        <f>530.4-194.3</f>
        <v>336.09999999999997</v>
      </c>
      <c r="K18" s="14">
        <v>211.68</v>
      </c>
      <c r="L18" s="14"/>
      <c r="M18" s="14"/>
      <c r="N18" s="14"/>
      <c r="O18" s="12">
        <f t="shared" si="0"/>
        <v>530.4</v>
      </c>
      <c r="P18" s="12">
        <f t="shared" si="1"/>
        <v>423.36</v>
      </c>
    </row>
    <row r="19" spans="1:16" ht="18.75" x14ac:dyDescent="0.3">
      <c r="A19" s="20" t="s">
        <v>308</v>
      </c>
      <c r="B19" s="15"/>
      <c r="C19" s="14"/>
      <c r="D19" s="14">
        <v>149.35</v>
      </c>
      <c r="E19" s="14"/>
      <c r="F19" s="14"/>
      <c r="G19" s="14"/>
      <c r="H19" s="14">
        <v>66.2</v>
      </c>
      <c r="I19" s="14"/>
      <c r="J19" s="14"/>
      <c r="K19" s="14"/>
      <c r="L19" s="14"/>
      <c r="M19" s="14"/>
      <c r="N19" s="14"/>
      <c r="O19" s="12">
        <f t="shared" si="0"/>
        <v>215.55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>
        <v>17</v>
      </c>
      <c r="C23" s="17">
        <v>17</v>
      </c>
      <c r="D23" s="17">
        <v>5</v>
      </c>
      <c r="E23" s="17">
        <v>5</v>
      </c>
      <c r="F23" s="17">
        <v>120</v>
      </c>
      <c r="G23" s="17">
        <v>120</v>
      </c>
      <c r="H23" s="17">
        <v>12</v>
      </c>
      <c r="I23" s="17">
        <v>12</v>
      </c>
      <c r="J23" s="17">
        <v>123.9</v>
      </c>
      <c r="K23" s="17">
        <v>123.9</v>
      </c>
      <c r="L23" s="17"/>
      <c r="M23" s="17"/>
      <c r="N23" s="17"/>
      <c r="O23" s="49">
        <f t="shared" si="0"/>
        <v>277.89999999999998</v>
      </c>
      <c r="P23" s="49">
        <f t="shared" si="1"/>
        <v>277.89999999999998</v>
      </c>
    </row>
    <row r="24" spans="1:16" x14ac:dyDescent="0.25">
      <c r="A24" t="s">
        <v>54</v>
      </c>
      <c r="B24" s="21">
        <f>SUM(B4:B23)</f>
        <v>17</v>
      </c>
      <c r="C24" s="21">
        <f t="shared" ref="C24:P24" si="2">SUM(C4:C23)</f>
        <v>17</v>
      </c>
      <c r="D24" s="21">
        <f t="shared" si="2"/>
        <v>307.10000000000002</v>
      </c>
      <c r="E24" s="21">
        <f t="shared" si="2"/>
        <v>150</v>
      </c>
      <c r="F24" s="21">
        <f t="shared" si="2"/>
        <v>899.46</v>
      </c>
      <c r="G24" s="21">
        <f t="shared" si="2"/>
        <v>331.68</v>
      </c>
      <c r="H24" s="21">
        <f t="shared" si="2"/>
        <v>1368.17</v>
      </c>
      <c r="I24" s="21">
        <f t="shared" si="2"/>
        <v>951.71</v>
      </c>
      <c r="J24" s="21">
        <f t="shared" si="2"/>
        <v>1368.4099999999999</v>
      </c>
      <c r="K24" s="21">
        <f t="shared" si="2"/>
        <v>821.59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3960.1400000000003</v>
      </c>
      <c r="P24" s="50">
        <f t="shared" si="2"/>
        <v>2271.98</v>
      </c>
    </row>
    <row r="25" spans="1:16" ht="15.75" thickBot="1" x14ac:dyDescent="0.3">
      <c r="N25" t="s">
        <v>55</v>
      </c>
      <c r="O25" s="50">
        <f>SUM(B24+D24+F24+H24+J24+L24+N24)</f>
        <v>3960.14</v>
      </c>
      <c r="P25" s="50">
        <f>SUM(C24+E24+G24+I24+K24+M24)</f>
        <v>2271.98</v>
      </c>
    </row>
    <row r="26" spans="1:16" ht="15.75" thickBot="1" x14ac:dyDescent="0.3">
      <c r="A26" t="s">
        <v>27</v>
      </c>
      <c r="B26" s="22">
        <f>O24</f>
        <v>3960.1400000000003</v>
      </c>
      <c r="D26" s="5" t="s">
        <v>30</v>
      </c>
      <c r="E26" s="47">
        <f>B50*1.5</f>
        <v>4948.1507999999994</v>
      </c>
    </row>
    <row r="27" spans="1:16" x14ac:dyDescent="0.25">
      <c r="A27" t="s">
        <v>28</v>
      </c>
      <c r="B27" s="22">
        <f>P24</f>
        <v>2271.98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3960.1400000000003</v>
      </c>
      <c r="H32" s="37"/>
      <c r="I32" s="26" t="s">
        <v>50</v>
      </c>
      <c r="J32" s="44">
        <f>'Sem 48'!J32+'Sem 49'!F32</f>
        <v>18082.560000000001</v>
      </c>
      <c r="L32" s="37"/>
      <c r="M32" s="27" t="s">
        <v>50</v>
      </c>
      <c r="N32" s="45">
        <f>'Sem 48'!N32+'Sem 49'!F32</f>
        <v>42225.03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3298.7671999999998</v>
      </c>
      <c r="H33" s="37"/>
      <c r="I33" s="26" t="s">
        <v>51</v>
      </c>
      <c r="J33" s="44">
        <f>'Sem 48'!J33+'Sem 49'!F33</f>
        <v>14189.3588</v>
      </c>
      <c r="L33" s="37"/>
      <c r="M33" s="27" t="s">
        <v>51</v>
      </c>
      <c r="N33" s="45">
        <f>'Sem 48'!N33+'Sem 49'!F33</f>
        <v>32007.154799999997</v>
      </c>
    </row>
    <row r="34" spans="1:15" x14ac:dyDescent="0.25">
      <c r="A34" t="s">
        <v>34</v>
      </c>
      <c r="B34" s="29">
        <f>IF(C34="","",(C34*1.16)+3.75+10)</f>
        <v>1911.0111999999997</v>
      </c>
      <c r="C34" s="35">
        <v>1635.57</v>
      </c>
      <c r="D34" s="37"/>
      <c r="E34" s="25"/>
      <c r="F34" s="25"/>
      <c r="H34" s="37"/>
      <c r="I34" s="26"/>
      <c r="J34" s="44"/>
      <c r="L34" s="37"/>
      <c r="M34" s="27"/>
      <c r="N34" s="45">
        <f>'Sem 48'!N34+'Sem 49'!F34</f>
        <v>0</v>
      </c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661.37280000000055</v>
      </c>
      <c r="H35" s="37"/>
      <c r="I35" s="26" t="s">
        <v>52</v>
      </c>
      <c r="J35" s="44">
        <f>'Sem 48'!J35+'Sem 49'!F35</f>
        <v>3893.2012000000032</v>
      </c>
      <c r="L35" s="37"/>
      <c r="M35" s="27" t="s">
        <v>52</v>
      </c>
      <c r="N35" s="45">
        <f>'Sem 48'!N35+'Sem 49'!F35</f>
        <v>10217.875200000004</v>
      </c>
    </row>
    <row r="36" spans="1:15" x14ac:dyDescent="0.25">
      <c r="A36" t="s">
        <v>36</v>
      </c>
      <c r="B36" s="31">
        <v>1340.7</v>
      </c>
      <c r="D36" s="37"/>
      <c r="E36" s="25" t="s">
        <v>53</v>
      </c>
      <c r="F36" s="43">
        <f>(F32-F33)/F33</f>
        <v>0.20049089853930904</v>
      </c>
      <c r="H36" s="37"/>
      <c r="I36" s="26" t="s">
        <v>53</v>
      </c>
      <c r="J36" s="52">
        <f>(J32-J33)/J33</f>
        <v>0.27437470958870963</v>
      </c>
      <c r="L36" s="37"/>
      <c r="M36" s="27" t="s">
        <v>53</v>
      </c>
      <c r="N36" s="53">
        <f>(N32-N33)/N33</f>
        <v>0.31923722254750375</v>
      </c>
    </row>
    <row r="37" spans="1:15" x14ac:dyDescent="0.25">
      <c r="A37" t="s">
        <v>37</v>
      </c>
      <c r="B37" s="31">
        <v>-9.6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H41" s="37"/>
      <c r="L41" s="37"/>
      <c r="M41" s="156" t="s">
        <v>218</v>
      </c>
      <c r="N41" s="157">
        <v>70.819999999999993</v>
      </c>
      <c r="O41" s="158"/>
    </row>
    <row r="42" spans="1:15" x14ac:dyDescent="0.25">
      <c r="A42" s="2" t="s">
        <v>39</v>
      </c>
      <c r="B42" s="21"/>
      <c r="D42" s="37"/>
      <c r="H42" s="37"/>
      <c r="L42" s="37"/>
      <c r="M42" s="156"/>
      <c r="N42" s="157"/>
      <c r="O42" s="158"/>
    </row>
    <row r="43" spans="1:15" x14ac:dyDescent="0.25">
      <c r="A43" t="s">
        <v>40</v>
      </c>
      <c r="B43" s="21">
        <f>N49</f>
        <v>56.655999999999999</v>
      </c>
      <c r="D43" s="37"/>
      <c r="H43" s="37"/>
      <c r="L43" s="37"/>
      <c r="M43" s="156"/>
      <c r="N43" s="157"/>
      <c r="O43" s="158"/>
    </row>
    <row r="44" spans="1:15" x14ac:dyDescent="0.25">
      <c r="A44" s="6"/>
      <c r="B44" s="21"/>
      <c r="D44" s="37"/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3960.1400000000003</v>
      </c>
      <c r="L48" s="37"/>
      <c r="M48" s="156" t="s">
        <v>219</v>
      </c>
      <c r="N48" s="157">
        <f>SUM(N41:N47)</f>
        <v>70.819999999999993</v>
      </c>
      <c r="O48" s="158"/>
    </row>
    <row r="49" spans="1:15" ht="15.75" thickBot="1" x14ac:dyDescent="0.3">
      <c r="B49" s="21"/>
      <c r="D49" s="37"/>
      <c r="G49" s="40">
        <v>1791.97</v>
      </c>
      <c r="H49" s="37"/>
      <c r="L49" s="37"/>
      <c r="M49" s="156" t="s">
        <v>220</v>
      </c>
      <c r="N49" s="157">
        <f>N48*0.8</f>
        <v>56.655999999999999</v>
      </c>
      <c r="O49" s="158"/>
    </row>
    <row r="50" spans="1:15" ht="15.75" thickBot="1" x14ac:dyDescent="0.3">
      <c r="A50" t="s">
        <v>42</v>
      </c>
      <c r="B50" s="33">
        <f>SUM(B33:B48)</f>
        <v>3298.7671999999998</v>
      </c>
      <c r="D50" s="37"/>
      <c r="G50" s="40"/>
      <c r="H50" s="37"/>
      <c r="I50" t="s">
        <v>62</v>
      </c>
      <c r="J50">
        <f>3960.14-277.9</f>
        <v>3682.24</v>
      </c>
      <c r="K50" s="41">
        <f>J50/K48</f>
        <v>0.9298257132323603</v>
      </c>
      <c r="L50" s="37"/>
      <c r="M50" s="156" t="s">
        <v>221</v>
      </c>
      <c r="N50" s="157">
        <f>N48-N49</f>
        <v>14.163999999999994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277.90000000000055</v>
      </c>
      <c r="K51" s="41">
        <f>J51/K48</f>
        <v>7.0174286767639663E-2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1282.03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-1.536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-8.39</v>
      </c>
      <c r="H55" s="37"/>
      <c r="L55" s="37"/>
    </row>
    <row r="56" spans="1:15" ht="15.75" thickBot="1" x14ac:dyDescent="0.3">
      <c r="A56" t="s">
        <v>44</v>
      </c>
      <c r="B56" s="33">
        <v>7810</v>
      </c>
      <c r="D56" s="37"/>
      <c r="H56" s="37"/>
      <c r="L56" s="37"/>
    </row>
    <row r="57" spans="1:15" ht="15.75" thickBot="1" x14ac:dyDescent="0.3">
      <c r="A57" t="s">
        <v>45</v>
      </c>
      <c r="B57" s="21">
        <f>'Sem 48'!B56</f>
        <v>6979.66</v>
      </c>
    </row>
    <row r="58" spans="1:15" ht="16.5" thickBot="1" x14ac:dyDescent="0.3">
      <c r="B58" s="21"/>
      <c r="E58" t="s">
        <v>65</v>
      </c>
      <c r="G58" s="48">
        <f>SUM(G48:G50)+SUM(G53:G55)</f>
        <v>3065.6099999999997</v>
      </c>
    </row>
    <row r="59" spans="1:15" x14ac:dyDescent="0.25">
      <c r="A59" t="s">
        <v>46</v>
      </c>
      <c r="B59" s="21">
        <f>B56-B57</f>
        <v>830.34000000000015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theme="7" tint="0.59999389629810485"/>
    <pageSetUpPr fitToPage="1"/>
  </sheetPr>
  <dimension ref="A1:P59"/>
  <sheetViews>
    <sheetView topLeftCell="A31" workbookViewId="0">
      <selection activeCell="L38" sqref="L38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43444</v>
      </c>
      <c r="C3" s="10"/>
      <c r="D3" s="9">
        <v>43445</v>
      </c>
      <c r="E3" s="10"/>
      <c r="F3" s="9">
        <v>43446</v>
      </c>
      <c r="G3" s="10"/>
      <c r="H3" s="9">
        <v>43447</v>
      </c>
      <c r="I3" s="10"/>
      <c r="J3" s="9">
        <v>43448</v>
      </c>
      <c r="K3" s="10"/>
      <c r="L3" s="9">
        <v>43449</v>
      </c>
      <c r="M3" s="10"/>
      <c r="N3" s="9">
        <v>43450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437.6</v>
      </c>
      <c r="E4" s="12"/>
      <c r="F4" s="12"/>
      <c r="G4" s="12"/>
      <c r="H4" s="12">
        <f>697.3-437.6+52.7</f>
        <v>312.39999999999992</v>
      </c>
      <c r="I4" s="12">
        <v>802.9</v>
      </c>
      <c r="J4" s="12"/>
      <c r="K4" s="12"/>
      <c r="L4" s="12"/>
      <c r="M4" s="12"/>
      <c r="N4" s="12"/>
      <c r="O4" s="12">
        <f>B4+D4+F4+H4+J4+L4+N4</f>
        <v>750</v>
      </c>
      <c r="P4" s="12">
        <f>C4+E4+G4+I4+K4+M4</f>
        <v>802.9</v>
      </c>
    </row>
    <row r="5" spans="1:16" ht="18.75" x14ac:dyDescent="0.3">
      <c r="A5" s="69" t="s">
        <v>11</v>
      </c>
      <c r="B5" s="70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2">
        <f t="shared" ref="O5:O23" si="0">B5+D5+F5+H5+J5+L5+N5</f>
        <v>0</v>
      </c>
      <c r="P5" s="7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187.5</v>
      </c>
      <c r="I6" s="14">
        <v>300</v>
      </c>
      <c r="J6" s="14"/>
      <c r="K6" s="14"/>
      <c r="L6" s="14"/>
      <c r="M6" s="14"/>
      <c r="N6" s="14"/>
      <c r="O6" s="12">
        <f t="shared" si="0"/>
        <v>187.5</v>
      </c>
      <c r="P6" s="12">
        <f t="shared" si="1"/>
        <v>300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145.44999999999999</v>
      </c>
      <c r="G7" s="14"/>
      <c r="H7" s="14"/>
      <c r="I7" s="14"/>
      <c r="J7" s="14">
        <f>285.95-145.45</f>
        <v>140.5</v>
      </c>
      <c r="K7" s="14">
        <v>303.16000000000003</v>
      </c>
      <c r="L7" s="14"/>
      <c r="M7" s="14"/>
      <c r="N7" s="14"/>
      <c r="O7" s="12">
        <f t="shared" si="0"/>
        <v>285.95</v>
      </c>
      <c r="P7" s="12">
        <f t="shared" si="1"/>
        <v>303.16000000000003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178.5</v>
      </c>
      <c r="I9" s="14">
        <v>189.21</v>
      </c>
      <c r="J9" s="14"/>
      <c r="K9" s="14"/>
      <c r="L9" s="14"/>
      <c r="M9" s="14"/>
      <c r="N9" s="14"/>
      <c r="O9" s="12">
        <f t="shared" si="0"/>
        <v>178.5</v>
      </c>
      <c r="P9" s="12">
        <f t="shared" si="1"/>
        <v>189.21</v>
      </c>
    </row>
    <row r="10" spans="1:16" ht="18.75" x14ac:dyDescent="0.3">
      <c r="A10" s="69" t="s">
        <v>16</v>
      </c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>
        <f t="shared" si="0"/>
        <v>0</v>
      </c>
      <c r="P10" s="72">
        <f t="shared" si="1"/>
        <v>0</v>
      </c>
    </row>
    <row r="11" spans="1:16" ht="18.75" x14ac:dyDescent="0.3">
      <c r="A11" s="69" t="s">
        <v>17</v>
      </c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2">
        <f t="shared" si="0"/>
        <v>0</v>
      </c>
      <c r="P11" s="7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>
        <v>384.95</v>
      </c>
      <c r="K13" s="14"/>
      <c r="L13" s="14"/>
      <c r="M13" s="14"/>
      <c r="N13" s="14"/>
      <c r="O13" s="12">
        <f t="shared" si="0"/>
        <v>384.95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146.9</v>
      </c>
      <c r="G14" s="14"/>
      <c r="H14" s="14"/>
      <c r="I14" s="14"/>
      <c r="J14" s="14"/>
      <c r="K14" s="14">
        <v>155.71</v>
      </c>
      <c r="L14" s="14"/>
      <c r="M14" s="14"/>
      <c r="N14" s="14"/>
      <c r="O14" s="12">
        <f t="shared" si="0"/>
        <v>146.9</v>
      </c>
      <c r="P14" s="12">
        <f t="shared" si="1"/>
        <v>155.71</v>
      </c>
    </row>
    <row r="15" spans="1:16" ht="18.75" x14ac:dyDescent="0.3">
      <c r="A15" s="19" t="s">
        <v>21</v>
      </c>
      <c r="B15" s="13"/>
      <c r="C15" s="14"/>
      <c r="D15" s="14">
        <v>63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63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>
        <v>78.69</v>
      </c>
      <c r="E16" s="14">
        <v>190</v>
      </c>
      <c r="F16" s="14"/>
      <c r="G16" s="14"/>
      <c r="H16" s="14">
        <v>107.1</v>
      </c>
      <c r="I16" s="14"/>
      <c r="J16" s="14"/>
      <c r="K16" s="14"/>
      <c r="L16" s="14"/>
      <c r="M16" s="14"/>
      <c r="N16" s="14"/>
      <c r="O16" s="12">
        <f t="shared" si="0"/>
        <v>185.79</v>
      </c>
      <c r="P16" s="12">
        <f t="shared" si="1"/>
        <v>190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>
        <v>142.19999999999999</v>
      </c>
      <c r="I17" s="14"/>
      <c r="J17" s="14"/>
      <c r="K17" s="14"/>
      <c r="L17" s="14"/>
      <c r="M17" s="14"/>
      <c r="N17" s="14"/>
      <c r="O17" s="12">
        <f t="shared" si="0"/>
        <v>142.19999999999999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>
        <v>68.349999999999994</v>
      </c>
      <c r="G18" s="14"/>
      <c r="H18" s="14"/>
      <c r="I18" s="14"/>
      <c r="J18" s="14">
        <f>251.35-68.35</f>
        <v>183</v>
      </c>
      <c r="K18" s="14"/>
      <c r="L18" s="14"/>
      <c r="M18" s="14"/>
      <c r="N18" s="14"/>
      <c r="O18" s="12">
        <f t="shared" si="0"/>
        <v>251.35</v>
      </c>
      <c r="P18" s="12">
        <f t="shared" si="1"/>
        <v>0</v>
      </c>
    </row>
    <row r="19" spans="1:16" ht="18.75" x14ac:dyDescent="0.3">
      <c r="A19" s="20" t="s">
        <v>307</v>
      </c>
      <c r="B19" s="15"/>
      <c r="C19" s="14"/>
      <c r="D19" s="14">
        <v>95.9</v>
      </c>
      <c r="E19" s="14"/>
      <c r="F19" s="14"/>
      <c r="G19" s="14"/>
      <c r="H19" s="14">
        <v>118.5</v>
      </c>
      <c r="I19" s="14"/>
      <c r="J19" s="14"/>
      <c r="K19" s="14"/>
      <c r="L19" s="14"/>
      <c r="M19" s="14"/>
      <c r="N19" s="14"/>
      <c r="O19" s="12">
        <f t="shared" si="0"/>
        <v>214.4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675.18999999999994</v>
      </c>
      <c r="E24" s="21">
        <f t="shared" si="2"/>
        <v>190</v>
      </c>
      <c r="F24" s="21">
        <f t="shared" si="2"/>
        <v>360.70000000000005</v>
      </c>
      <c r="G24" s="21">
        <f t="shared" si="2"/>
        <v>0</v>
      </c>
      <c r="H24" s="21">
        <f t="shared" si="2"/>
        <v>1046.1999999999998</v>
      </c>
      <c r="I24" s="21">
        <f t="shared" si="2"/>
        <v>1292.1100000000001</v>
      </c>
      <c r="J24" s="21">
        <f t="shared" si="2"/>
        <v>708.45</v>
      </c>
      <c r="K24" s="21">
        <f t="shared" si="2"/>
        <v>458.87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2790.54</v>
      </c>
      <c r="P24" s="50">
        <f t="shared" si="2"/>
        <v>1940.9800000000002</v>
      </c>
    </row>
    <row r="25" spans="1:16" ht="15.75" thickBot="1" x14ac:dyDescent="0.3">
      <c r="N25" t="s">
        <v>55</v>
      </c>
      <c r="O25" s="50">
        <f>SUM(B24+D24+F24+H24+J24+L24+N24)</f>
        <v>2790.54</v>
      </c>
      <c r="P25" s="50">
        <f>SUM(C24+E24+G24+I24+K24+M24)</f>
        <v>1940.98</v>
      </c>
    </row>
    <row r="26" spans="1:16" ht="15.75" thickBot="1" x14ac:dyDescent="0.3">
      <c r="A26" t="s">
        <v>27</v>
      </c>
      <c r="B26" s="22">
        <f>O24</f>
        <v>2790.54</v>
      </c>
      <c r="D26" s="5" t="s">
        <v>30</v>
      </c>
      <c r="E26" s="47">
        <f>B50*1.5</f>
        <v>4338.1260000000002</v>
      </c>
    </row>
    <row r="27" spans="1:16" x14ac:dyDescent="0.25">
      <c r="A27" t="s">
        <v>28</v>
      </c>
      <c r="B27" s="22">
        <f>P24</f>
        <v>1940.9800000000002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2790.54</v>
      </c>
      <c r="H32" s="37"/>
      <c r="I32" s="26" t="s">
        <v>50</v>
      </c>
      <c r="J32" s="44">
        <f>'Sem 49'!J32+'Sem 50'!F32</f>
        <v>20873.100000000002</v>
      </c>
      <c r="L32" s="37"/>
      <c r="M32" s="27" t="s">
        <v>50</v>
      </c>
      <c r="N32" s="45">
        <f>'Sem 49'!N32+'Sem 50'!F32</f>
        <v>45015.57</v>
      </c>
    </row>
    <row r="33" spans="1:15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2892.0839999999998</v>
      </c>
      <c r="H33" s="37"/>
      <c r="I33" s="26" t="s">
        <v>51</v>
      </c>
      <c r="J33" s="44">
        <f>'Sem 49'!J33+'Sem 50'!F33</f>
        <v>17081.442800000001</v>
      </c>
      <c r="L33" s="37"/>
      <c r="M33" s="27" t="s">
        <v>51</v>
      </c>
      <c r="N33" s="45">
        <f>'Sem 49'!N33+'Sem 50'!F33</f>
        <v>34899.238799999999</v>
      </c>
    </row>
    <row r="34" spans="1:15" x14ac:dyDescent="0.25">
      <c r="A34" t="s">
        <v>34</v>
      </c>
      <c r="B34" s="29">
        <f>IF(C34="","",(C34*1.16)+3.75+10)</f>
        <v>1732.4639999999999</v>
      </c>
      <c r="C34" s="35">
        <v>1481.65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5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-101.54399999999987</v>
      </c>
      <c r="H35" s="37"/>
      <c r="I35" s="26" t="s">
        <v>52</v>
      </c>
      <c r="J35" s="44">
        <f>'Sem 49'!J35+'Sem 50'!F35</f>
        <v>3791.6572000000033</v>
      </c>
      <c r="L35" s="37"/>
      <c r="M35" s="27" t="s">
        <v>52</v>
      </c>
      <c r="N35" s="45">
        <f>'Sem 49'!N35+'Sem 50'!F35</f>
        <v>10116.331200000004</v>
      </c>
    </row>
    <row r="36" spans="1:15" x14ac:dyDescent="0.25">
      <c r="A36" t="s">
        <v>36</v>
      </c>
      <c r="B36" s="31">
        <v>848.16</v>
      </c>
      <c r="D36" s="37"/>
      <c r="E36" s="25" t="s">
        <v>53</v>
      </c>
      <c r="F36" s="43">
        <f>(F32-F33)/F33</f>
        <v>-3.5111013373055514E-2</v>
      </c>
      <c r="H36" s="37"/>
      <c r="I36" s="26" t="s">
        <v>53</v>
      </c>
      <c r="J36" s="52">
        <f>(J32-J33)/J33</f>
        <v>0.22197523033592931</v>
      </c>
      <c r="L36" s="37"/>
      <c r="M36" s="27" t="s">
        <v>53</v>
      </c>
      <c r="N36" s="53">
        <f>(N32-N33)/N33</f>
        <v>0.28987254587340744</v>
      </c>
    </row>
    <row r="37" spans="1:15" x14ac:dyDescent="0.25">
      <c r="A37" t="s">
        <v>37</v>
      </c>
      <c r="B37" s="31">
        <v>269.3</v>
      </c>
      <c r="D37" s="37"/>
      <c r="H37" s="37"/>
      <c r="L37" s="37"/>
    </row>
    <row r="38" spans="1:15" ht="15.75" thickBot="1" x14ac:dyDescent="0.3">
      <c r="A38" t="s">
        <v>38</v>
      </c>
      <c r="B38" s="32"/>
      <c r="D38" s="37"/>
      <c r="H38" s="37"/>
      <c r="L38" s="37"/>
    </row>
    <row r="39" spans="1:15" ht="15.75" thickBot="1" x14ac:dyDescent="0.3">
      <c r="B39" s="21"/>
      <c r="D39" s="37"/>
      <c r="H39" s="37"/>
      <c r="L39" s="37"/>
    </row>
    <row r="40" spans="1:15" x14ac:dyDescent="0.25">
      <c r="B40" s="21"/>
      <c r="D40" s="37"/>
      <c r="H40" s="37"/>
      <c r="L40" s="37"/>
      <c r="M40" s="153"/>
      <c r="N40" s="154" t="s">
        <v>217</v>
      </c>
      <c r="O40" s="155"/>
    </row>
    <row r="41" spans="1:15" x14ac:dyDescent="0.25">
      <c r="B41" s="21"/>
      <c r="D41" s="37"/>
      <c r="H41" s="37"/>
      <c r="L41" s="37"/>
      <c r="M41" s="156" t="s">
        <v>218</v>
      </c>
      <c r="N41" s="157">
        <v>52.7</v>
      </c>
      <c r="O41" s="158"/>
    </row>
    <row r="42" spans="1:15" x14ac:dyDescent="0.25">
      <c r="A42" s="2" t="s">
        <v>39</v>
      </c>
      <c r="B42" s="21"/>
      <c r="D42" s="37"/>
      <c r="H42" s="37"/>
      <c r="L42" s="37"/>
      <c r="M42" s="156"/>
      <c r="N42" s="157"/>
      <c r="O42" s="158"/>
    </row>
    <row r="43" spans="1:15" x14ac:dyDescent="0.25">
      <c r="A43" t="s">
        <v>40</v>
      </c>
      <c r="B43" s="21">
        <f>N49</f>
        <v>42.160000000000004</v>
      </c>
      <c r="D43" s="37"/>
      <c r="H43" s="37"/>
      <c r="L43" s="37"/>
      <c r="M43" s="156"/>
      <c r="N43" s="157"/>
      <c r="O43" s="158"/>
    </row>
    <row r="44" spans="1:15" x14ac:dyDescent="0.25">
      <c r="A44" s="6"/>
      <c r="B44" s="21"/>
      <c r="D44" s="37"/>
      <c r="H44" s="37"/>
      <c r="L44" s="37"/>
      <c r="M44" s="156"/>
      <c r="N44" s="157"/>
      <c r="O44" s="158"/>
    </row>
    <row r="45" spans="1:15" x14ac:dyDescent="0.25">
      <c r="A45" s="6"/>
      <c r="B45" s="21"/>
      <c r="D45" s="37"/>
      <c r="H45" s="37"/>
      <c r="L45" s="37"/>
      <c r="M45" s="156"/>
      <c r="N45" s="157"/>
      <c r="O45" s="158"/>
    </row>
    <row r="46" spans="1:15" x14ac:dyDescent="0.25">
      <c r="A46" s="6"/>
      <c r="B46" s="21"/>
      <c r="D46" s="37"/>
      <c r="H46" s="37"/>
      <c r="L46" s="37"/>
      <c r="M46" s="156"/>
      <c r="N46" s="157"/>
      <c r="O46" s="158"/>
    </row>
    <row r="47" spans="1:15" x14ac:dyDescent="0.25">
      <c r="A47" s="6"/>
      <c r="B47" s="21"/>
      <c r="D47" s="37"/>
      <c r="H47" s="37"/>
      <c r="L47" s="37"/>
      <c r="M47" s="156"/>
      <c r="N47" s="157"/>
      <c r="O47" s="158"/>
    </row>
    <row r="48" spans="1:15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2790.54</v>
      </c>
      <c r="L48" s="37"/>
      <c r="M48" s="156" t="s">
        <v>219</v>
      </c>
      <c r="N48" s="157">
        <f>SUM(N41:N47)</f>
        <v>52.7</v>
      </c>
      <c r="O48" s="158"/>
    </row>
    <row r="49" spans="1:15" ht="15.75" thickBot="1" x14ac:dyDescent="0.3">
      <c r="B49" s="21"/>
      <c r="D49" s="37"/>
      <c r="G49" s="40">
        <v>1766.04</v>
      </c>
      <c r="H49" s="37"/>
      <c r="L49" s="37"/>
      <c r="M49" s="156" t="s">
        <v>220</v>
      </c>
      <c r="N49" s="157">
        <f>N48*0.8</f>
        <v>42.160000000000004</v>
      </c>
      <c r="O49" s="158"/>
    </row>
    <row r="50" spans="1:15" ht="15.75" thickBot="1" x14ac:dyDescent="0.3">
      <c r="A50" t="s">
        <v>42</v>
      </c>
      <c r="B50" s="33">
        <f>SUM(B33:B48)</f>
        <v>2892.0839999999998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10.54</v>
      </c>
      <c r="O50" s="158"/>
    </row>
    <row r="51" spans="1:15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2790.54</v>
      </c>
      <c r="K51" s="41">
        <f>J51/K48</f>
        <v>1</v>
      </c>
      <c r="L51" s="37"/>
      <c r="M51" s="156"/>
      <c r="N51" s="159"/>
      <c r="O51" s="158"/>
    </row>
    <row r="52" spans="1:15" x14ac:dyDescent="0.25">
      <c r="A52" t="s">
        <v>43</v>
      </c>
      <c r="B52" s="21"/>
      <c r="D52" s="37"/>
      <c r="H52" s="37"/>
      <c r="L52" s="37"/>
      <c r="M52" s="124"/>
      <c r="N52" s="85"/>
      <c r="O52" s="125"/>
    </row>
    <row r="53" spans="1:15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1027.42</v>
      </c>
      <c r="H53" s="37"/>
      <c r="L53" s="37"/>
      <c r="M53" s="126"/>
      <c r="N53" s="127"/>
      <c r="O53" s="128"/>
    </row>
    <row r="54" spans="1:15" x14ac:dyDescent="0.25">
      <c r="A54" s="79" t="s">
        <v>189</v>
      </c>
      <c r="B54" s="21">
        <f>(B37+B38)*16%</f>
        <v>43.088000000000001</v>
      </c>
      <c r="D54" s="37"/>
      <c r="E54" t="s">
        <v>59</v>
      </c>
      <c r="G54" s="40"/>
      <c r="H54" s="37"/>
      <c r="L54" s="37"/>
    </row>
    <row r="55" spans="1:15" ht="15.75" thickBot="1" x14ac:dyDescent="0.3">
      <c r="D55" s="37"/>
      <c r="E55" t="s">
        <v>60</v>
      </c>
      <c r="G55" s="40">
        <v>394.79</v>
      </c>
      <c r="H55" s="37"/>
      <c r="L55" s="37"/>
    </row>
    <row r="56" spans="1:15" ht="15.75" thickBot="1" x14ac:dyDescent="0.3">
      <c r="A56" t="s">
        <v>44</v>
      </c>
      <c r="B56" s="33">
        <v>6391.58</v>
      </c>
      <c r="D56" s="37"/>
      <c r="H56" s="37"/>
      <c r="L56" s="37"/>
    </row>
    <row r="57" spans="1:15" ht="15.75" thickBot="1" x14ac:dyDescent="0.3">
      <c r="A57" t="s">
        <v>45</v>
      </c>
      <c r="B57" s="21">
        <f>'Sem 49'!B56</f>
        <v>7810</v>
      </c>
    </row>
    <row r="58" spans="1:15" ht="16.5" thickBot="1" x14ac:dyDescent="0.3">
      <c r="B58" s="21"/>
      <c r="E58" t="s">
        <v>65</v>
      </c>
      <c r="G58" s="48">
        <f>SUM(G48:G50)+SUM(G53:G55)</f>
        <v>3188.25</v>
      </c>
    </row>
    <row r="59" spans="1:15" x14ac:dyDescent="0.25">
      <c r="A59" t="s">
        <v>46</v>
      </c>
      <c r="B59" s="21">
        <f>B56-B57</f>
        <v>-1418.42</v>
      </c>
      <c r="C59" t="s">
        <v>309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theme="7" tint="0.59999389629810485"/>
    <pageSetUpPr fitToPage="1"/>
  </sheetPr>
  <dimension ref="A1:R59"/>
  <sheetViews>
    <sheetView topLeftCell="A22" workbookViewId="0">
      <selection activeCell="P40" sqref="P40:R53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6" max="6" width="12" bestFit="1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43451</v>
      </c>
      <c r="C3" s="10"/>
      <c r="D3" s="9">
        <v>43452</v>
      </c>
      <c r="E3" s="10"/>
      <c r="F3" s="9">
        <v>43453</v>
      </c>
      <c r="G3" s="10"/>
      <c r="H3" s="9">
        <v>43454</v>
      </c>
      <c r="I3" s="10"/>
      <c r="J3" s="9">
        <v>43455</v>
      </c>
      <c r="K3" s="10"/>
      <c r="L3" s="9">
        <v>43456</v>
      </c>
      <c r="M3" s="10"/>
      <c r="N3" s="9">
        <v>43457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>
        <v>283.7</v>
      </c>
      <c r="E4" s="12"/>
      <c r="F4" s="12"/>
      <c r="G4" s="12"/>
      <c r="H4" s="12">
        <f>909.16-270.7</f>
        <v>638.46</v>
      </c>
      <c r="I4" s="12">
        <v>979.44</v>
      </c>
      <c r="J4" s="12"/>
      <c r="K4" s="12"/>
      <c r="L4" s="12">
        <v>436.15</v>
      </c>
      <c r="M4" s="12"/>
      <c r="N4" s="12">
        <v>147.5</v>
      </c>
      <c r="O4" s="12">
        <f>B4+D4+F4+H4+J4+L4+N4</f>
        <v>1505.81</v>
      </c>
      <c r="P4" s="12">
        <f>C4+E4+G4+I4+K4+M4</f>
        <v>979.44</v>
      </c>
    </row>
    <row r="5" spans="1:16" ht="18.75" x14ac:dyDescent="0.3">
      <c r="A5" s="58" t="s">
        <v>11</v>
      </c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>
        <f t="shared" ref="O5:O23" si="0">B5+D5+F5+H5+J5+L5+N5</f>
        <v>0</v>
      </c>
      <c r="P5" s="61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>
        <v>975.16</v>
      </c>
      <c r="I6" s="14">
        <v>443.69</v>
      </c>
      <c r="J6" s="14"/>
      <c r="K6" s="14"/>
      <c r="L6" s="14">
        <v>423.1</v>
      </c>
      <c r="M6" s="14">
        <v>333.9</v>
      </c>
      <c r="N6" s="14">
        <v>86</v>
      </c>
      <c r="O6" s="12">
        <f t="shared" si="0"/>
        <v>1484.26</v>
      </c>
      <c r="P6" s="12">
        <f t="shared" si="1"/>
        <v>777.58999999999992</v>
      </c>
    </row>
    <row r="7" spans="1:16" ht="18.75" x14ac:dyDescent="0.3">
      <c r="A7" s="18" t="s">
        <v>13</v>
      </c>
      <c r="B7" s="13"/>
      <c r="C7" s="14"/>
      <c r="D7" s="14"/>
      <c r="E7" s="14"/>
      <c r="F7" s="14">
        <v>237.55</v>
      </c>
      <c r="G7" s="14"/>
      <c r="H7" s="14"/>
      <c r="I7" s="14"/>
      <c r="J7" s="14">
        <f>997.85-237.55</f>
        <v>760.3</v>
      </c>
      <c r="K7" s="14">
        <v>1057.72</v>
      </c>
      <c r="L7" s="14"/>
      <c r="M7" s="14"/>
      <c r="N7" s="14"/>
      <c r="O7" s="12">
        <f t="shared" si="0"/>
        <v>997.84999999999991</v>
      </c>
      <c r="P7" s="12">
        <f t="shared" si="1"/>
        <v>1057.72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>
        <v>425.84</v>
      </c>
      <c r="I9" s="14">
        <v>451.39</v>
      </c>
      <c r="J9" s="14"/>
      <c r="K9" s="14"/>
      <c r="L9" s="14">
        <v>123</v>
      </c>
      <c r="M9" s="14"/>
      <c r="N9" s="14">
        <v>220.5</v>
      </c>
      <c r="O9" s="12">
        <f t="shared" si="0"/>
        <v>769.33999999999992</v>
      </c>
      <c r="P9" s="12">
        <f t="shared" si="1"/>
        <v>451.39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>
        <v>167.18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167.18</v>
      </c>
      <c r="P12" s="12">
        <f t="shared" si="1"/>
        <v>0</v>
      </c>
    </row>
    <row r="13" spans="1:16" ht="18.75" x14ac:dyDescent="0.3">
      <c r="A13" s="19" t="s">
        <v>19</v>
      </c>
      <c r="B13" s="189">
        <v>1000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1000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>
        <v>151.1</v>
      </c>
      <c r="G14" s="14"/>
      <c r="H14" s="14"/>
      <c r="I14" s="14"/>
      <c r="J14" s="14">
        <v>93.5</v>
      </c>
      <c r="K14" s="14"/>
      <c r="L14" s="14"/>
      <c r="M14" s="14"/>
      <c r="N14" s="14"/>
      <c r="O14" s="12">
        <f t="shared" si="0"/>
        <v>244.6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>
        <v>234.7</v>
      </c>
      <c r="E15" s="14">
        <f>356.19+66.78</f>
        <v>422.97</v>
      </c>
      <c r="F15" s="14"/>
      <c r="G15" s="14"/>
      <c r="H15" s="14">
        <v>665.6</v>
      </c>
      <c r="I15" s="14"/>
      <c r="J15" s="14"/>
      <c r="K15" s="14"/>
      <c r="L15" s="14"/>
      <c r="M15" s="14"/>
      <c r="N15" s="14">
        <v>70.400000000000006</v>
      </c>
      <c r="O15" s="12">
        <f t="shared" si="0"/>
        <v>970.69999999999993</v>
      </c>
      <c r="P15" s="12">
        <f t="shared" si="1"/>
        <v>422.97</v>
      </c>
    </row>
    <row r="16" spans="1:16" ht="18.75" x14ac:dyDescent="0.3">
      <c r="A16" s="19" t="s">
        <v>22</v>
      </c>
      <c r="B16" s="13"/>
      <c r="C16" s="14"/>
      <c r="D16" s="14">
        <v>70.75</v>
      </c>
      <c r="E16" s="14">
        <f>53.16+172</f>
        <v>225.16</v>
      </c>
      <c r="F16" s="14"/>
      <c r="G16" s="14"/>
      <c r="H16" s="14">
        <v>240.1</v>
      </c>
      <c r="I16" s="14"/>
      <c r="J16" s="14"/>
      <c r="K16" s="14"/>
      <c r="L16" s="14">
        <v>318.51</v>
      </c>
      <c r="M16" s="14"/>
      <c r="N16" s="14"/>
      <c r="O16" s="12">
        <f t="shared" si="0"/>
        <v>629.36</v>
      </c>
      <c r="P16" s="12">
        <f t="shared" si="1"/>
        <v>225.16</v>
      </c>
    </row>
    <row r="17" spans="1:16" ht="18.75" x14ac:dyDescent="0.3">
      <c r="A17" s="18" t="s">
        <v>23</v>
      </c>
      <c r="B17" s="13"/>
      <c r="C17" s="14"/>
      <c r="D17" s="14">
        <v>183.9</v>
      </c>
      <c r="E17" s="14"/>
      <c r="F17" s="14"/>
      <c r="G17" s="14"/>
      <c r="H17" s="14">
        <v>516.79999999999995</v>
      </c>
      <c r="I17" s="14"/>
      <c r="J17" s="14"/>
      <c r="K17" s="14"/>
      <c r="L17" s="14">
        <v>173</v>
      </c>
      <c r="M17" s="14"/>
      <c r="N17" s="14">
        <v>420.9</v>
      </c>
      <c r="O17" s="12">
        <f t="shared" si="0"/>
        <v>1294.5999999999999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>
        <v>424.07</v>
      </c>
      <c r="E18" s="14"/>
      <c r="F18" s="14"/>
      <c r="G18" s="14"/>
      <c r="H18" s="14"/>
      <c r="I18" s="14"/>
      <c r="J18" s="14"/>
      <c r="K18" s="14"/>
      <c r="L18" s="14">
        <v>686.8</v>
      </c>
      <c r="M18" s="14">
        <v>266.43</v>
      </c>
      <c r="N18" s="14"/>
      <c r="O18" s="12">
        <f t="shared" si="0"/>
        <v>1110.8699999999999</v>
      </c>
      <c r="P18" s="12">
        <f t="shared" si="1"/>
        <v>266.43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>
        <v>240</v>
      </c>
      <c r="C23" s="17">
        <v>240</v>
      </c>
      <c r="D23" s="17"/>
      <c r="E23" s="17"/>
      <c r="F23" s="17"/>
      <c r="G23" s="17"/>
      <c r="H23" s="17">
        <v>75</v>
      </c>
      <c r="I23" s="17">
        <v>75</v>
      </c>
      <c r="J23" s="17"/>
      <c r="K23" s="17"/>
      <c r="L23" s="17"/>
      <c r="M23" s="17"/>
      <c r="N23" s="17"/>
      <c r="O23" s="49">
        <f t="shared" si="0"/>
        <v>315</v>
      </c>
      <c r="P23" s="49">
        <f t="shared" si="1"/>
        <v>315</v>
      </c>
    </row>
    <row r="24" spans="1:16" x14ac:dyDescent="0.25">
      <c r="A24" t="s">
        <v>54</v>
      </c>
      <c r="B24" s="21">
        <f>SUM(B4:B23)</f>
        <v>1407.18</v>
      </c>
      <c r="C24" s="21">
        <f t="shared" ref="C24:P24" si="2">SUM(C4:C23)</f>
        <v>240</v>
      </c>
      <c r="D24" s="21">
        <f t="shared" si="2"/>
        <v>1197.1199999999999</v>
      </c>
      <c r="E24" s="21">
        <f t="shared" si="2"/>
        <v>648.13</v>
      </c>
      <c r="F24" s="21">
        <f t="shared" si="2"/>
        <v>388.65</v>
      </c>
      <c r="G24" s="21">
        <f t="shared" si="2"/>
        <v>0</v>
      </c>
      <c r="H24" s="21">
        <f t="shared" si="2"/>
        <v>3536.96</v>
      </c>
      <c r="I24" s="21">
        <f t="shared" si="2"/>
        <v>1949.52</v>
      </c>
      <c r="J24" s="21">
        <f t="shared" si="2"/>
        <v>853.8</v>
      </c>
      <c r="K24" s="21">
        <f t="shared" si="2"/>
        <v>1057.72</v>
      </c>
      <c r="L24" s="21">
        <f t="shared" si="2"/>
        <v>2160.56</v>
      </c>
      <c r="M24" s="21">
        <f t="shared" si="2"/>
        <v>600.32999999999993</v>
      </c>
      <c r="N24" s="21">
        <f t="shared" si="2"/>
        <v>945.3</v>
      </c>
      <c r="O24" s="190">
        <f t="shared" si="2"/>
        <v>10489.57</v>
      </c>
      <c r="P24" s="50">
        <f t="shared" si="2"/>
        <v>4495.7</v>
      </c>
    </row>
    <row r="25" spans="1:16" ht="15.75" thickBot="1" x14ac:dyDescent="0.3">
      <c r="N25" t="s">
        <v>55</v>
      </c>
      <c r="O25" s="190">
        <f>SUM(B24+D24+F24+H24+J24+L24+N24)</f>
        <v>10489.57</v>
      </c>
      <c r="P25" s="50">
        <f>SUM(C24+E24+G24+I24+K24+M24)</f>
        <v>4495.7</v>
      </c>
    </row>
    <row r="26" spans="1:16" ht="15.75" thickBot="1" x14ac:dyDescent="0.3">
      <c r="A26" t="s">
        <v>27</v>
      </c>
      <c r="B26" s="113">
        <f>O24</f>
        <v>10489.57</v>
      </c>
      <c r="D26" s="5" t="s">
        <v>30</v>
      </c>
      <c r="E26" s="47">
        <f>B50*1.5</f>
        <v>13384.253999999999</v>
      </c>
    </row>
    <row r="27" spans="1:16" x14ac:dyDescent="0.25">
      <c r="A27" t="s">
        <v>28</v>
      </c>
      <c r="B27" s="22">
        <f>P24</f>
        <v>4495.7</v>
      </c>
      <c r="H27" s="187" t="s">
        <v>317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10489.57</v>
      </c>
      <c r="H32" s="37"/>
      <c r="I32" s="26" t="s">
        <v>50</v>
      </c>
      <c r="J32" s="44">
        <f>'Sem 50'!J32+'Sem 51'!F32</f>
        <v>31362.670000000002</v>
      </c>
      <c r="L32" s="37"/>
      <c r="M32" s="27" t="s">
        <v>50</v>
      </c>
      <c r="N32" s="45">
        <f>'Sem 50'!N32+'Sem 51'!F32</f>
        <v>55505.14</v>
      </c>
    </row>
    <row r="33" spans="1:18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8922.8359999999993</v>
      </c>
      <c r="H33" s="37"/>
      <c r="I33" s="26" t="s">
        <v>51</v>
      </c>
      <c r="J33" s="44">
        <f>'Sem 50'!J33+'Sem 51'!F33</f>
        <v>26004.2788</v>
      </c>
      <c r="L33" s="37"/>
      <c r="M33" s="27" t="s">
        <v>51</v>
      </c>
      <c r="N33" s="45">
        <f>'Sem 50'!N33+'Sem 51'!F33</f>
        <v>43822.074800000002</v>
      </c>
    </row>
    <row r="34" spans="1:18" x14ac:dyDescent="0.25">
      <c r="A34" t="s">
        <v>34</v>
      </c>
      <c r="B34" s="29">
        <f>IF(C34="","",(C34*1.16)+3.75+10)</f>
        <v>3429.9035999999996</v>
      </c>
      <c r="C34" s="35">
        <v>2944.96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8" x14ac:dyDescent="0.25">
      <c r="A35" t="s">
        <v>35</v>
      </c>
      <c r="B35" s="30">
        <f>IF(C35="","",(C35*1.16)+3.75+10)</f>
        <v>2780.2804000000001</v>
      </c>
      <c r="C35" s="36">
        <v>2384.94</v>
      </c>
      <c r="D35" s="37"/>
      <c r="E35" s="25" t="s">
        <v>52</v>
      </c>
      <c r="F35" s="42">
        <f>F32-F33</f>
        <v>1566.7340000000004</v>
      </c>
      <c r="H35" s="37"/>
      <c r="I35" s="26" t="s">
        <v>52</v>
      </c>
      <c r="J35" s="44">
        <f>'Sem 50'!J35+'Sem 51'!F35</f>
        <v>5358.3912000000037</v>
      </c>
      <c r="L35" s="37"/>
      <c r="M35" s="27" t="s">
        <v>52</v>
      </c>
      <c r="N35" s="45">
        <f>'Sem 50'!N35+'Sem 51'!F35</f>
        <v>11683.065200000005</v>
      </c>
    </row>
    <row r="36" spans="1:18" x14ac:dyDescent="0.25">
      <c r="A36" t="s">
        <v>36</v>
      </c>
      <c r="B36" s="31">
        <v>731.65</v>
      </c>
      <c r="D36" s="37"/>
      <c r="E36" s="25" t="s">
        <v>53</v>
      </c>
      <c r="F36" s="43">
        <f>(F32-F33)/F33</f>
        <v>0.1755869994696754</v>
      </c>
      <c r="H36" s="37"/>
      <c r="I36" s="26" t="s">
        <v>53</v>
      </c>
      <c r="J36" s="52">
        <f>(J32-J33)/J33</f>
        <v>0.2060580584146022</v>
      </c>
      <c r="L36" s="37"/>
      <c r="M36" s="27" t="s">
        <v>53</v>
      </c>
      <c r="N36" s="53">
        <f>(N32-N33)/N33</f>
        <v>0.2666022832857744</v>
      </c>
    </row>
    <row r="37" spans="1:18" x14ac:dyDescent="0.25">
      <c r="A37" t="s">
        <v>37</v>
      </c>
      <c r="B37" s="31">
        <v>676.61</v>
      </c>
      <c r="D37" s="37"/>
      <c r="H37" s="37"/>
      <c r="L37" s="37"/>
    </row>
    <row r="38" spans="1:18" ht="15.75" thickBot="1" x14ac:dyDescent="0.3">
      <c r="A38" t="s">
        <v>36</v>
      </c>
      <c r="B38" s="32">
        <v>782</v>
      </c>
      <c r="D38" s="37"/>
      <c r="H38" s="37"/>
      <c r="L38" s="37"/>
    </row>
    <row r="39" spans="1:18" ht="15.75" thickBot="1" x14ac:dyDescent="0.3">
      <c r="B39" s="21"/>
      <c r="D39" s="37"/>
      <c r="E39" s="188" t="s">
        <v>318</v>
      </c>
      <c r="F39">
        <f>8400.44*1.5</f>
        <v>12600.66</v>
      </c>
      <c r="H39" s="37"/>
      <c r="L39" s="37"/>
    </row>
    <row r="40" spans="1:18" x14ac:dyDescent="0.25">
      <c r="B40" s="21"/>
      <c r="D40" s="37"/>
      <c r="E40" s="188" t="s">
        <v>319</v>
      </c>
      <c r="F40" s="160">
        <f>B43*1.2</f>
        <v>158.87040000000002</v>
      </c>
      <c r="H40" s="37"/>
      <c r="L40" s="37"/>
      <c r="M40" s="153"/>
      <c r="N40" s="154" t="s">
        <v>217</v>
      </c>
      <c r="O40" s="155"/>
      <c r="P40" s="180"/>
      <c r="Q40" s="181" t="s">
        <v>310</v>
      </c>
      <c r="R40" s="182"/>
    </row>
    <row r="41" spans="1:18" x14ac:dyDescent="0.25">
      <c r="B41" s="21"/>
      <c r="D41" s="37"/>
      <c r="E41" s="188" t="s">
        <v>320</v>
      </c>
      <c r="F41" s="160">
        <f>B44*1.66</f>
        <v>647.4</v>
      </c>
      <c r="H41" s="37"/>
      <c r="L41" s="37"/>
      <c r="M41" s="156" t="s">
        <v>218</v>
      </c>
      <c r="N41" s="157">
        <v>97.17</v>
      </c>
      <c r="O41" s="158"/>
      <c r="P41" s="183" t="s">
        <v>218</v>
      </c>
      <c r="Q41" s="184">
        <v>370</v>
      </c>
      <c r="R41" s="185" t="s">
        <v>311</v>
      </c>
    </row>
    <row r="42" spans="1:18" x14ac:dyDescent="0.25">
      <c r="A42" s="2" t="s">
        <v>39</v>
      </c>
      <c r="B42" s="21"/>
      <c r="D42" s="37"/>
      <c r="E42" s="188" t="s">
        <v>57</v>
      </c>
      <c r="F42" s="21">
        <f>SUM(F39:F41)</f>
        <v>13406.930399999999</v>
      </c>
      <c r="H42" s="37"/>
      <c r="L42" s="37"/>
      <c r="M42" s="156"/>
      <c r="N42" s="157">
        <v>13</v>
      </c>
      <c r="O42" s="158"/>
      <c r="P42" s="183"/>
      <c r="Q42" s="184">
        <v>170</v>
      </c>
      <c r="R42" s="185" t="s">
        <v>312</v>
      </c>
    </row>
    <row r="43" spans="1:18" x14ac:dyDescent="0.25">
      <c r="A43" t="s">
        <v>40</v>
      </c>
      <c r="B43" s="21">
        <f>N49</f>
        <v>132.39200000000002</v>
      </c>
      <c r="D43" s="37"/>
      <c r="H43" s="37"/>
      <c r="L43" s="37"/>
      <c r="M43" s="156"/>
      <c r="N43" s="157">
        <v>24.26</v>
      </c>
      <c r="O43" s="158"/>
      <c r="P43" s="183"/>
      <c r="Q43" s="184">
        <v>50</v>
      </c>
      <c r="R43" s="185" t="s">
        <v>316</v>
      </c>
    </row>
    <row r="44" spans="1:18" x14ac:dyDescent="0.25">
      <c r="A44" s="6" t="s">
        <v>310</v>
      </c>
      <c r="B44" s="21">
        <f>Q49</f>
        <v>390</v>
      </c>
      <c r="D44" s="37"/>
      <c r="H44" s="37"/>
      <c r="L44" s="37"/>
      <c r="M44" s="156"/>
      <c r="N44" s="157">
        <v>6.8</v>
      </c>
      <c r="O44" s="158"/>
      <c r="P44" s="183"/>
      <c r="Q44" s="184">
        <v>30</v>
      </c>
      <c r="R44" s="185" t="s">
        <v>313</v>
      </c>
    </row>
    <row r="45" spans="1:18" x14ac:dyDescent="0.25">
      <c r="A45" s="6"/>
      <c r="B45" s="21"/>
      <c r="D45" s="37"/>
      <c r="H45" s="37"/>
      <c r="L45" s="37"/>
      <c r="M45" s="156"/>
      <c r="N45" s="157">
        <v>24.26</v>
      </c>
      <c r="O45" s="158"/>
      <c r="P45" s="183"/>
      <c r="Q45" s="184">
        <v>20</v>
      </c>
      <c r="R45" s="185" t="s">
        <v>314</v>
      </c>
    </row>
    <row r="46" spans="1:18" x14ac:dyDescent="0.25">
      <c r="A46" s="6"/>
      <c r="B46" s="21"/>
      <c r="D46" s="37"/>
      <c r="H46" s="37"/>
      <c r="L46" s="37"/>
      <c r="M46" s="156"/>
      <c r="N46" s="157"/>
      <c r="O46" s="158"/>
      <c r="P46" s="183"/>
      <c r="Q46" s="184">
        <v>10</v>
      </c>
      <c r="R46" s="185" t="s">
        <v>315</v>
      </c>
    </row>
    <row r="47" spans="1:18" x14ac:dyDescent="0.25">
      <c r="A47" s="6"/>
      <c r="B47" s="21"/>
      <c r="D47" s="37"/>
      <c r="H47" s="37"/>
      <c r="L47" s="37"/>
      <c r="M47" s="156"/>
      <c r="N47" s="157"/>
      <c r="O47" s="158"/>
      <c r="P47" s="183"/>
      <c r="Q47" s="185"/>
      <c r="R47" s="185"/>
    </row>
    <row r="48" spans="1:18" ht="15.75" x14ac:dyDescent="0.25">
      <c r="B48" s="21"/>
      <c r="D48" s="37"/>
      <c r="E48" t="s">
        <v>56</v>
      </c>
      <c r="G48" s="40">
        <v>3458.54</v>
      </c>
      <c r="H48" s="37"/>
      <c r="I48" s="38" t="s">
        <v>61</v>
      </c>
      <c r="J48" s="38"/>
      <c r="K48" s="39">
        <f>F32</f>
        <v>10489.57</v>
      </c>
      <c r="L48" s="37"/>
      <c r="M48" s="156" t="s">
        <v>219</v>
      </c>
      <c r="N48" s="157">
        <f>SUM(N41:N47)</f>
        <v>165.49</v>
      </c>
      <c r="O48" s="158"/>
      <c r="P48" s="183" t="s">
        <v>219</v>
      </c>
      <c r="Q48" s="184">
        <f>SUM(Q41:Q46)</f>
        <v>650</v>
      </c>
      <c r="R48" s="185"/>
    </row>
    <row r="49" spans="1:18" ht="15.75" thickBot="1" x14ac:dyDescent="0.3">
      <c r="B49" s="21"/>
      <c r="D49" s="37"/>
      <c r="G49" s="40">
        <v>3001.7</v>
      </c>
      <c r="H49" s="37"/>
      <c r="L49" s="37"/>
      <c r="M49" s="156" t="s">
        <v>220</v>
      </c>
      <c r="N49" s="157">
        <f>N48*0.8</f>
        <v>132.39200000000002</v>
      </c>
      <c r="O49" s="158"/>
      <c r="P49" s="183" t="s">
        <v>220</v>
      </c>
      <c r="Q49" s="184">
        <f>Q48*0.6</f>
        <v>390</v>
      </c>
      <c r="R49" s="185"/>
    </row>
    <row r="50" spans="1:18" ht="15.75" thickBot="1" x14ac:dyDescent="0.3">
      <c r="A50" t="s">
        <v>42</v>
      </c>
      <c r="B50" s="33">
        <f>SUM(B33:B48)</f>
        <v>8922.8359999999993</v>
      </c>
      <c r="D50" s="37"/>
      <c r="G50" s="40"/>
      <c r="H50" s="37"/>
      <c r="I50" t="s">
        <v>62</v>
      </c>
      <c r="J50" s="160">
        <f>K48-O23-232.5</f>
        <v>9942.07</v>
      </c>
      <c r="K50" s="41">
        <f>J50/K48</f>
        <v>0.94780529611795339</v>
      </c>
      <c r="L50" s="37"/>
      <c r="M50" s="156" t="s">
        <v>221</v>
      </c>
      <c r="N50" s="157">
        <f>N48-N49</f>
        <v>33.097999999999985</v>
      </c>
      <c r="O50" s="158"/>
      <c r="P50" s="183" t="s">
        <v>221</v>
      </c>
      <c r="Q50" s="184">
        <f>Q48-Q49</f>
        <v>260</v>
      </c>
      <c r="R50" s="185"/>
    </row>
    <row r="51" spans="1:18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547.5</v>
      </c>
      <c r="K51" s="41">
        <f>J51/K48</f>
        <v>5.2194703882046646E-2</v>
      </c>
      <c r="L51" s="37"/>
      <c r="M51" s="156"/>
      <c r="N51" s="159"/>
      <c r="O51" s="158"/>
      <c r="P51" s="183"/>
      <c r="Q51" s="186"/>
      <c r="R51" s="185"/>
    </row>
    <row r="52" spans="1:18" x14ac:dyDescent="0.25">
      <c r="A52" t="s">
        <v>43</v>
      </c>
      <c r="B52" s="21"/>
      <c r="D52" s="37"/>
      <c r="H52" s="37"/>
      <c r="L52" s="37"/>
      <c r="M52" s="124"/>
      <c r="N52" s="85"/>
      <c r="O52" s="125"/>
      <c r="P52" s="124"/>
      <c r="Q52" s="85"/>
      <c r="R52" s="125"/>
    </row>
    <row r="53" spans="1:18" ht="15.75" thickBot="1" x14ac:dyDescent="0.3">
      <c r="A53" s="6" t="s">
        <v>188</v>
      </c>
      <c r="B53" s="21">
        <v>9.35</v>
      </c>
      <c r="D53" s="37"/>
      <c r="E53" t="s">
        <v>58</v>
      </c>
      <c r="G53" s="40">
        <v>803.29</v>
      </c>
      <c r="H53" s="37"/>
      <c r="L53" s="37"/>
      <c r="M53" s="126"/>
      <c r="N53" s="127"/>
      <c r="O53" s="128"/>
      <c r="P53" s="126"/>
      <c r="Q53" s="127"/>
      <c r="R53" s="128"/>
    </row>
    <row r="54" spans="1:18" x14ac:dyDescent="0.25">
      <c r="A54" s="79" t="s">
        <v>189</v>
      </c>
      <c r="B54" s="21">
        <f>(B37+B38)*16%</f>
        <v>233.37760000000003</v>
      </c>
      <c r="D54" s="37"/>
      <c r="E54" t="s">
        <v>59</v>
      </c>
      <c r="G54" s="40">
        <v>898.08</v>
      </c>
      <c r="H54" s="37"/>
      <c r="L54" s="37"/>
    </row>
    <row r="55" spans="1:18" ht="15.75" thickBot="1" x14ac:dyDescent="0.3">
      <c r="D55" s="37"/>
      <c r="E55" t="s">
        <v>60</v>
      </c>
      <c r="G55" s="40">
        <v>655</v>
      </c>
      <c r="H55" s="37"/>
      <c r="L55" s="37"/>
    </row>
    <row r="56" spans="1:18" ht="15.75" thickBot="1" x14ac:dyDescent="0.3">
      <c r="A56" t="s">
        <v>44</v>
      </c>
      <c r="B56" s="33">
        <v>11449.32</v>
      </c>
      <c r="D56" s="37"/>
      <c r="H56" s="37"/>
      <c r="L56" s="37"/>
    </row>
    <row r="57" spans="1:18" ht="15.75" thickBot="1" x14ac:dyDescent="0.3">
      <c r="A57" t="s">
        <v>45</v>
      </c>
      <c r="B57" s="21">
        <f>'Sem 50'!B56</f>
        <v>6391.58</v>
      </c>
    </row>
    <row r="58" spans="1:18" ht="16.5" thickBot="1" x14ac:dyDescent="0.3">
      <c r="B58" s="21" t="s">
        <v>134</v>
      </c>
      <c r="E58" t="s">
        <v>65</v>
      </c>
      <c r="G58" s="48">
        <f>SUM(G48:G50)+SUM(G53:G55)</f>
        <v>8816.61</v>
      </c>
    </row>
    <row r="59" spans="1:18" x14ac:dyDescent="0.25">
      <c r="A59" t="s">
        <v>46</v>
      </c>
      <c r="B59" s="21">
        <f>B56-B57</f>
        <v>5057.74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1" orientation="landscape" horizontalDpi="4294967293" verticalDpi="4294967293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theme="7" tint="0.59999389629810485"/>
    <pageSetUpPr fitToPage="1"/>
  </sheetPr>
  <dimension ref="A1:R59"/>
  <sheetViews>
    <sheetView tabSelected="1" topLeftCell="A25" workbookViewId="0">
      <selection activeCell="G52" sqref="G52"/>
    </sheetView>
  </sheetViews>
  <sheetFormatPr baseColWidth="10" defaultRowHeight="15" x14ac:dyDescent="0.25"/>
  <cols>
    <col min="1" max="1" width="22.7109375" customWidth="1"/>
    <col min="2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  <col min="14" max="14" width="12" bestFit="1" customWidth="1"/>
    <col min="17" max="17" width="13" bestFit="1" customWidth="1"/>
  </cols>
  <sheetData>
    <row r="1" spans="1:16" x14ac:dyDescent="0.25">
      <c r="B1" s="192" t="s">
        <v>1</v>
      </c>
      <c r="C1" s="192"/>
      <c r="D1" s="193" t="s">
        <v>2</v>
      </c>
      <c r="E1" s="193"/>
      <c r="F1" s="194" t="s">
        <v>3</v>
      </c>
      <c r="G1" s="194"/>
      <c r="H1" s="195" t="s">
        <v>4</v>
      </c>
      <c r="I1" s="195"/>
      <c r="J1" s="193" t="s">
        <v>5</v>
      </c>
      <c r="K1" s="193"/>
      <c r="L1" s="191" t="s">
        <v>6</v>
      </c>
      <c r="M1" s="191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43458</v>
      </c>
      <c r="C3" s="10"/>
      <c r="D3" s="9">
        <v>43459</v>
      </c>
      <c r="E3" s="10"/>
      <c r="F3" s="9">
        <v>43460</v>
      </c>
      <c r="G3" s="10"/>
      <c r="H3" s="9">
        <v>43461</v>
      </c>
      <c r="I3" s="10"/>
      <c r="J3" s="9">
        <v>43462</v>
      </c>
      <c r="K3" s="10"/>
      <c r="L3" s="9">
        <v>43463</v>
      </c>
      <c r="M3" s="10"/>
      <c r="N3" s="9">
        <v>43464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96">
        <v>519.9</v>
      </c>
      <c r="I4" s="12"/>
      <c r="J4" s="12"/>
      <c r="K4" s="12"/>
      <c r="L4" s="12"/>
      <c r="M4" s="12"/>
      <c r="N4" s="12"/>
      <c r="O4" s="12">
        <f>B4+D4+F4+H4+J4+L4+N4</f>
        <v>519.9</v>
      </c>
      <c r="P4" s="12">
        <f>C4+E4+G4+I4+K4+M4</f>
        <v>0</v>
      </c>
    </row>
    <row r="5" spans="1:16" ht="18.75" x14ac:dyDescent="0.3">
      <c r="A5" s="58" t="s">
        <v>11</v>
      </c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>
        <f t="shared" ref="O5:O23" si="0">B5+D5+F5+H5+J5+L5+N5</f>
        <v>0</v>
      </c>
      <c r="P5" s="61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2"/>
      <c r="G6" s="14"/>
      <c r="H6" s="197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2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58" t="s">
        <v>14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1">
        <f t="shared" si="0"/>
        <v>0</v>
      </c>
      <c r="P8" s="61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58" t="s">
        <v>16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1">
        <f t="shared" si="0"/>
        <v>0</v>
      </c>
      <c r="P10" s="61">
        <f t="shared" si="1"/>
        <v>0</v>
      </c>
    </row>
    <row r="11" spans="1:16" ht="18.75" x14ac:dyDescent="0.3">
      <c r="A11" s="58" t="s">
        <v>17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>
        <f t="shared" si="0"/>
        <v>0</v>
      </c>
      <c r="P11" s="61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97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2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2"/>
      <c r="G15" s="14"/>
      <c r="H15" s="197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7" ht="18.75" x14ac:dyDescent="0.3">
      <c r="A17" s="18" t="s">
        <v>23</v>
      </c>
      <c r="B17" s="13"/>
      <c r="C17" s="14"/>
      <c r="D17" s="14"/>
      <c r="E17" s="14"/>
      <c r="F17" s="12"/>
      <c r="G17" s="14"/>
      <c r="H17" s="197">
        <v>413.6</v>
      </c>
      <c r="I17" s="14"/>
      <c r="J17" s="14"/>
      <c r="K17" s="14"/>
      <c r="L17" s="14"/>
      <c r="M17" s="14"/>
      <c r="N17" s="14"/>
      <c r="O17" s="12">
        <f t="shared" si="0"/>
        <v>413.6</v>
      </c>
      <c r="P17" s="12">
        <f t="shared" si="1"/>
        <v>0</v>
      </c>
    </row>
    <row r="18" spans="1:17" ht="18.75" x14ac:dyDescent="0.3">
      <c r="A18" s="18" t="s">
        <v>24</v>
      </c>
      <c r="B18" s="13"/>
      <c r="C18" s="14"/>
      <c r="D18" s="14"/>
      <c r="E18" s="14"/>
      <c r="F18" s="14"/>
      <c r="G18" s="12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7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7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7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7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7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7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933.5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933.5</v>
      </c>
      <c r="P24" s="50">
        <f t="shared" si="2"/>
        <v>0</v>
      </c>
    </row>
    <row r="25" spans="1:17" ht="15.75" thickBot="1" x14ac:dyDescent="0.3">
      <c r="N25" t="s">
        <v>55</v>
      </c>
      <c r="O25" s="50">
        <f>SUM(B24+D24+F24+H24+J24+L24+N24)</f>
        <v>933.5</v>
      </c>
      <c r="P25" s="50">
        <f>SUM(C24+E24+G24+I24+K24+M24)</f>
        <v>0</v>
      </c>
    </row>
    <row r="26" spans="1:17" ht="15.75" thickBot="1" x14ac:dyDescent="0.3">
      <c r="A26" t="s">
        <v>27</v>
      </c>
      <c r="B26" s="22">
        <f>O24</f>
        <v>933.5</v>
      </c>
      <c r="D26" s="5" t="s">
        <v>30</v>
      </c>
      <c r="E26" s="47">
        <f>B50*1.5</f>
        <v>4083.1679999999997</v>
      </c>
    </row>
    <row r="27" spans="1:17" x14ac:dyDescent="0.25">
      <c r="A27" t="s">
        <v>28</v>
      </c>
      <c r="B27" s="22">
        <f>P24</f>
        <v>0</v>
      </c>
    </row>
    <row r="28" spans="1:17" x14ac:dyDescent="0.25">
      <c r="A28" s="3" t="s">
        <v>29</v>
      </c>
    </row>
    <row r="30" spans="1:17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  <c r="P30" s="7" t="s">
        <v>301</v>
      </c>
      <c r="Q30" s="7"/>
    </row>
    <row r="31" spans="1:17" x14ac:dyDescent="0.25">
      <c r="D31" s="37"/>
      <c r="H31" s="37"/>
      <c r="L31" s="37"/>
    </row>
    <row r="32" spans="1:17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933.5</v>
      </c>
      <c r="H32" s="37"/>
      <c r="I32" s="26" t="s">
        <v>50</v>
      </c>
      <c r="J32" s="44">
        <f>'Sem 51'!J32+'Sem 52'!F32</f>
        <v>32296.170000000002</v>
      </c>
      <c r="L32" s="37"/>
      <c r="M32" s="27" t="s">
        <v>50</v>
      </c>
      <c r="N32" s="45">
        <f>'Sem 51'!N32+'Sem 52'!F32</f>
        <v>56438.64</v>
      </c>
      <c r="P32" s="198" t="s">
        <v>50</v>
      </c>
      <c r="Q32" s="199">
        <f>'Sem 13'!N32+'Sem 26'!N32+'Sem 39'!N32+'Sem 52'!N32</f>
        <v>273445.14</v>
      </c>
    </row>
    <row r="33" spans="1:18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2722.1119999999996</v>
      </c>
      <c r="H33" s="37"/>
      <c r="I33" s="26" t="s">
        <v>51</v>
      </c>
      <c r="J33" s="44">
        <f>'Sem 51'!J33+'Sem 52'!F33</f>
        <v>28726.390800000001</v>
      </c>
      <c r="L33" s="37"/>
      <c r="M33" s="27" t="s">
        <v>51</v>
      </c>
      <c r="N33" s="45">
        <f>'Sem 51'!N33+'Sem 52'!F33</f>
        <v>46544.186800000003</v>
      </c>
      <c r="P33" s="198" t="s">
        <v>51</v>
      </c>
      <c r="Q33" s="199">
        <f>'Sem 13'!N33+'Sem 26'!N33+'Sem 39'!N33+'Sem 52'!N33</f>
        <v>205566.27</v>
      </c>
    </row>
    <row r="34" spans="1:18" x14ac:dyDescent="0.25">
      <c r="A34" t="s">
        <v>323</v>
      </c>
      <c r="B34" s="29">
        <f>IF(C34="","",(C34*1.16)+3.75+10)</f>
        <v>1348.1559999999997</v>
      </c>
      <c r="C34" s="35">
        <v>1150.3499999999999</v>
      </c>
      <c r="D34" s="37"/>
      <c r="E34" s="25"/>
      <c r="F34" s="25"/>
      <c r="H34" s="37"/>
      <c r="I34" s="26"/>
      <c r="J34" s="44"/>
      <c r="L34" s="37"/>
      <c r="M34" s="27"/>
      <c r="N34" s="45"/>
      <c r="P34" s="198"/>
      <c r="Q34" s="199"/>
    </row>
    <row r="35" spans="1:18" x14ac:dyDescent="0.25">
      <c r="A35" t="s">
        <v>35</v>
      </c>
      <c r="B35" s="30">
        <f>IF(C35="","",(C35*1.16)+3.75+10)</f>
        <v>947.95600000000002</v>
      </c>
      <c r="C35" s="36">
        <v>805.35</v>
      </c>
      <c r="D35" s="37"/>
      <c r="E35" s="25" t="s">
        <v>52</v>
      </c>
      <c r="F35" s="42">
        <f>F32-F33</f>
        <v>-1788.6119999999996</v>
      </c>
      <c r="H35" s="37"/>
      <c r="I35" s="26" t="s">
        <v>52</v>
      </c>
      <c r="J35" s="44">
        <f>'Sem 51'!J35+'Sem 52'!F35</f>
        <v>3569.779200000004</v>
      </c>
      <c r="L35" s="37"/>
      <c r="M35" s="27" t="s">
        <v>52</v>
      </c>
      <c r="N35" s="45">
        <f>'Sem 51'!N35+'Sem 52'!F35</f>
        <v>9894.4532000000054</v>
      </c>
      <c r="P35" s="198" t="s">
        <v>52</v>
      </c>
      <c r="Q35" s="199">
        <f>'Sem 13'!N35+'Sem 26'!N35+'Sem 39'!N35+'Sem 52'!N35</f>
        <v>67878.87000000001</v>
      </c>
    </row>
    <row r="36" spans="1:18" x14ac:dyDescent="0.25">
      <c r="A36" t="s">
        <v>36</v>
      </c>
      <c r="B36" s="31"/>
      <c r="D36" s="37"/>
      <c r="E36" s="25" t="s">
        <v>53</v>
      </c>
      <c r="F36" s="43">
        <f>(F32-F33)/F33</f>
        <v>-0.65706774739613938</v>
      </c>
      <c r="H36" s="37"/>
      <c r="I36" s="26" t="s">
        <v>53</v>
      </c>
      <c r="J36" s="52">
        <f>(J32-J33)/J33</f>
        <v>0.12426828085900721</v>
      </c>
      <c r="L36" s="37"/>
      <c r="M36" s="27" t="s">
        <v>53</v>
      </c>
      <c r="N36" s="53">
        <f>(N32-N33)/N33</f>
        <v>0.21258193300307043</v>
      </c>
      <c r="P36" s="198" t="s">
        <v>53</v>
      </c>
      <c r="Q36" s="200">
        <f>(Q32-Q33)/Q33</f>
        <v>0.3302043180527624</v>
      </c>
    </row>
    <row r="37" spans="1:18" x14ac:dyDescent="0.25">
      <c r="A37" t="s">
        <v>37</v>
      </c>
      <c r="B37" s="31">
        <v>300</v>
      </c>
      <c r="D37" s="37"/>
      <c r="H37" s="37"/>
      <c r="L37" s="37"/>
    </row>
    <row r="38" spans="1:18" ht="15.75" thickBot="1" x14ac:dyDescent="0.3">
      <c r="A38" t="s">
        <v>38</v>
      </c>
      <c r="B38" s="32"/>
      <c r="D38" s="37"/>
      <c r="H38" s="37"/>
      <c r="L38" s="37"/>
    </row>
    <row r="39" spans="1:18" ht="15.75" thickBot="1" x14ac:dyDescent="0.3">
      <c r="B39" s="21"/>
      <c r="D39" s="37"/>
      <c r="H39" s="37"/>
      <c r="L39" s="37"/>
    </row>
    <row r="40" spans="1:18" x14ac:dyDescent="0.25">
      <c r="B40" s="21"/>
      <c r="D40" s="37"/>
      <c r="H40" s="37"/>
      <c r="L40" s="37"/>
      <c r="M40" s="153"/>
      <c r="N40" s="154" t="s">
        <v>217</v>
      </c>
      <c r="O40" s="155"/>
      <c r="P40" s="180"/>
      <c r="Q40" s="181" t="s">
        <v>310</v>
      </c>
      <c r="R40" s="182"/>
    </row>
    <row r="41" spans="1:18" x14ac:dyDescent="0.25">
      <c r="B41" s="21"/>
      <c r="D41" s="37"/>
      <c r="H41" s="37"/>
      <c r="L41" s="37"/>
      <c r="M41" s="156" t="s">
        <v>218</v>
      </c>
      <c r="N41" s="157"/>
      <c r="O41" s="158"/>
      <c r="P41" s="183" t="s">
        <v>218</v>
      </c>
      <c r="Q41" s="184">
        <v>150</v>
      </c>
      <c r="R41" s="185" t="s">
        <v>325</v>
      </c>
    </row>
    <row r="42" spans="1:18" x14ac:dyDescent="0.25">
      <c r="A42" s="2" t="s">
        <v>39</v>
      </c>
      <c r="B42" s="21"/>
      <c r="D42" s="37"/>
      <c r="H42" s="37"/>
      <c r="L42" s="37"/>
      <c r="M42" s="156"/>
      <c r="N42" s="157"/>
      <c r="O42" s="158"/>
      <c r="P42" s="183"/>
      <c r="Q42" s="184">
        <v>60</v>
      </c>
      <c r="R42" s="185" t="s">
        <v>326</v>
      </c>
    </row>
    <row r="43" spans="1:18" x14ac:dyDescent="0.25">
      <c r="A43" t="s">
        <v>40</v>
      </c>
      <c r="B43" s="21">
        <f>N49</f>
        <v>0</v>
      </c>
      <c r="D43" s="37"/>
      <c r="H43" s="37"/>
      <c r="L43" s="37"/>
      <c r="M43" s="156"/>
      <c r="N43" s="157"/>
      <c r="O43" s="158"/>
      <c r="P43" s="183"/>
      <c r="Q43" s="184"/>
      <c r="R43" s="185"/>
    </row>
    <row r="44" spans="1:18" x14ac:dyDescent="0.25">
      <c r="A44" s="6" t="s">
        <v>324</v>
      </c>
      <c r="B44" s="21">
        <f>Q49</f>
        <v>126</v>
      </c>
      <c r="D44" s="37"/>
      <c r="H44" s="37"/>
      <c r="L44" s="37"/>
      <c r="M44" s="156"/>
      <c r="N44" s="157"/>
      <c r="O44" s="158"/>
      <c r="P44" s="183"/>
      <c r="Q44" s="184"/>
      <c r="R44" s="185"/>
    </row>
    <row r="45" spans="1:18" x14ac:dyDescent="0.25">
      <c r="A45" s="6"/>
      <c r="B45" s="21"/>
      <c r="D45" s="37"/>
      <c r="H45" s="37"/>
      <c r="L45" s="37"/>
      <c r="M45" s="156"/>
      <c r="N45" s="157"/>
      <c r="O45" s="158"/>
      <c r="P45" s="183"/>
      <c r="Q45" s="184"/>
      <c r="R45" s="185"/>
    </row>
    <row r="46" spans="1:18" x14ac:dyDescent="0.25">
      <c r="A46" s="6"/>
      <c r="B46" s="21"/>
      <c r="D46" s="37"/>
      <c r="H46" s="37"/>
      <c r="L46" s="37"/>
      <c r="M46" s="156"/>
      <c r="N46" s="157"/>
      <c r="O46" s="158"/>
      <c r="P46" s="183"/>
      <c r="Q46" s="184"/>
      <c r="R46" s="185"/>
    </row>
    <row r="47" spans="1:18" x14ac:dyDescent="0.25">
      <c r="A47" s="6"/>
      <c r="B47" s="21"/>
      <c r="D47" s="37"/>
      <c r="H47" s="37"/>
      <c r="L47" s="37"/>
      <c r="M47" s="156"/>
      <c r="N47" s="157"/>
      <c r="O47" s="158"/>
      <c r="P47" s="183"/>
      <c r="Q47" s="185"/>
      <c r="R47" s="185"/>
    </row>
    <row r="48" spans="1:18" ht="15.75" x14ac:dyDescent="0.25">
      <c r="B48" s="21"/>
      <c r="D48" s="37"/>
      <c r="E48" t="s">
        <v>56</v>
      </c>
      <c r="G48" s="40">
        <v>1391.12</v>
      </c>
      <c r="H48" s="37"/>
      <c r="I48" s="38" t="s">
        <v>61</v>
      </c>
      <c r="J48" s="38"/>
      <c r="K48" s="39">
        <f>F32</f>
        <v>933.5</v>
      </c>
      <c r="L48" s="37"/>
      <c r="M48" s="156" t="s">
        <v>219</v>
      </c>
      <c r="N48" s="157">
        <f>SUM(N41:N47)</f>
        <v>0</v>
      </c>
      <c r="O48" s="158"/>
      <c r="P48" s="183" t="s">
        <v>219</v>
      </c>
      <c r="Q48" s="184">
        <f>SUM(Q41:Q46)</f>
        <v>210</v>
      </c>
      <c r="R48" s="185"/>
    </row>
    <row r="49" spans="1:18" ht="15.75" thickBot="1" x14ac:dyDescent="0.3">
      <c r="B49" s="21"/>
      <c r="D49" s="37"/>
      <c r="G49" s="40">
        <v>1170.1300000000001</v>
      </c>
      <c r="H49" s="37"/>
      <c r="L49" s="37"/>
      <c r="M49" s="156" t="s">
        <v>220</v>
      </c>
      <c r="N49" s="157">
        <f>N48*0.8</f>
        <v>0</v>
      </c>
      <c r="O49" s="158"/>
      <c r="P49" s="183" t="s">
        <v>220</v>
      </c>
      <c r="Q49" s="184">
        <f>Q48*0.6</f>
        <v>126</v>
      </c>
      <c r="R49" s="185"/>
    </row>
    <row r="50" spans="1:18" ht="15.75" thickBot="1" x14ac:dyDescent="0.3">
      <c r="A50" t="s">
        <v>42</v>
      </c>
      <c r="B50" s="33">
        <f>SUM(B33:B48)</f>
        <v>2722.1119999999996</v>
      </c>
      <c r="D50" s="37"/>
      <c r="G50" s="40"/>
      <c r="H50" s="37"/>
      <c r="I50" t="s">
        <v>62</v>
      </c>
      <c r="K50" s="41">
        <f>J50/K48</f>
        <v>0</v>
      </c>
      <c r="L50" s="37"/>
      <c r="M50" s="156" t="s">
        <v>221</v>
      </c>
      <c r="N50" s="157">
        <f>N48-N49</f>
        <v>0</v>
      </c>
      <c r="O50" s="158"/>
      <c r="P50" s="183" t="s">
        <v>221</v>
      </c>
      <c r="Q50" s="184">
        <f>Q48-Q49</f>
        <v>84</v>
      </c>
      <c r="R50" s="185"/>
    </row>
    <row r="51" spans="1:18" ht="15.75" x14ac:dyDescent="0.25">
      <c r="B51" s="21"/>
      <c r="D51" s="37"/>
      <c r="F51" t="s">
        <v>57</v>
      </c>
      <c r="G51" s="39">
        <f>SUM(G48:G50)</f>
        <v>2561.25</v>
      </c>
      <c r="H51" s="37"/>
      <c r="I51" t="s">
        <v>63</v>
      </c>
      <c r="J51" s="22">
        <f>K48-J50</f>
        <v>933.5</v>
      </c>
      <c r="K51" s="41">
        <f>J51/K48</f>
        <v>1</v>
      </c>
      <c r="L51" s="37"/>
      <c r="M51" s="156"/>
      <c r="N51" s="159"/>
      <c r="O51" s="158"/>
      <c r="P51" s="183"/>
      <c r="Q51" s="186"/>
      <c r="R51" s="185"/>
    </row>
    <row r="52" spans="1:18" x14ac:dyDescent="0.25">
      <c r="A52" t="s">
        <v>43</v>
      </c>
      <c r="B52" s="21"/>
      <c r="D52" s="37"/>
      <c r="H52" s="37"/>
      <c r="L52" s="37"/>
      <c r="M52" s="124"/>
      <c r="N52" s="85"/>
      <c r="O52" s="125"/>
      <c r="P52" s="124"/>
      <c r="Q52" s="85"/>
      <c r="R52" s="125"/>
    </row>
    <row r="53" spans="1:18" ht="15.75" thickBot="1" x14ac:dyDescent="0.3">
      <c r="A53" s="6" t="s">
        <v>188</v>
      </c>
      <c r="B53" s="21">
        <v>9.35</v>
      </c>
      <c r="D53" s="37"/>
      <c r="E53" t="s">
        <v>58</v>
      </c>
      <c r="G53" s="40"/>
      <c r="H53" s="37"/>
      <c r="L53" s="37"/>
      <c r="M53" s="126"/>
      <c r="N53" s="127"/>
      <c r="O53" s="128"/>
      <c r="P53" s="126"/>
      <c r="Q53" s="127"/>
      <c r="R53" s="128"/>
    </row>
    <row r="54" spans="1:18" x14ac:dyDescent="0.25">
      <c r="A54" s="79" t="s">
        <v>189</v>
      </c>
      <c r="B54" s="21">
        <f>(B37+B38)*16%</f>
        <v>48</v>
      </c>
      <c r="D54" s="37"/>
      <c r="E54" t="s">
        <v>59</v>
      </c>
      <c r="G54" s="40"/>
      <c r="H54" s="37"/>
      <c r="L54" s="37"/>
    </row>
    <row r="55" spans="1:18" ht="15.75" thickBot="1" x14ac:dyDescent="0.3">
      <c r="D55" s="37"/>
      <c r="E55" t="s">
        <v>60</v>
      </c>
      <c r="G55" s="40">
        <v>423.04</v>
      </c>
      <c r="H55" s="37"/>
      <c r="L55" s="37"/>
    </row>
    <row r="56" spans="1:18" ht="15.75" thickBot="1" x14ac:dyDescent="0.3">
      <c r="A56" t="s">
        <v>44</v>
      </c>
      <c r="B56" s="33"/>
      <c r="D56" s="37"/>
      <c r="H56" s="37"/>
      <c r="L56" s="37"/>
    </row>
    <row r="57" spans="1:18" ht="15.75" thickBot="1" x14ac:dyDescent="0.3">
      <c r="A57" t="s">
        <v>45</v>
      </c>
      <c r="B57" s="21">
        <f>'Sem 51'!B56</f>
        <v>11449.32</v>
      </c>
    </row>
    <row r="58" spans="1:18" ht="16.5" thickBot="1" x14ac:dyDescent="0.3">
      <c r="B58" s="21"/>
      <c r="E58" t="s">
        <v>65</v>
      </c>
      <c r="G58" s="48">
        <f>SUM(G48:G50)+SUM(G53:G55)</f>
        <v>2984.29</v>
      </c>
    </row>
    <row r="59" spans="1:18" x14ac:dyDescent="0.25">
      <c r="A59" t="s">
        <v>46</v>
      </c>
      <c r="B59" s="21">
        <f>B56-B57</f>
        <v>-11449.32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theme="7" tint="0.59999389629810485"/>
  </sheetPr>
  <dimension ref="A1:BC44"/>
  <sheetViews>
    <sheetView topLeftCell="AS1" workbookViewId="0">
      <selection activeCell="BA22" sqref="BA22:BA23"/>
    </sheetView>
  </sheetViews>
  <sheetFormatPr baseColWidth="10" defaultRowHeight="15" x14ac:dyDescent="0.25"/>
  <cols>
    <col min="1" max="1" width="14.28515625" bestFit="1" customWidth="1"/>
    <col min="18" max="18" width="12.7109375" customWidth="1"/>
    <col min="54" max="54" width="12.42578125" bestFit="1" customWidth="1"/>
  </cols>
  <sheetData>
    <row r="1" spans="1:55" x14ac:dyDescent="0.25">
      <c r="A1" t="s">
        <v>0</v>
      </c>
      <c r="B1" s="51" t="s">
        <v>66</v>
      </c>
      <c r="C1" s="51" t="s">
        <v>67</v>
      </c>
      <c r="D1" s="51" t="s">
        <v>68</v>
      </c>
      <c r="E1" s="51" t="s">
        <v>69</v>
      </c>
      <c r="F1" s="51" t="s">
        <v>70</v>
      </c>
      <c r="G1" s="51" t="s">
        <v>71</v>
      </c>
      <c r="H1" s="51" t="s">
        <v>72</v>
      </c>
      <c r="I1" s="51" t="s">
        <v>73</v>
      </c>
      <c r="J1" s="51" t="s">
        <v>74</v>
      </c>
      <c r="K1" s="51" t="s">
        <v>75</v>
      </c>
      <c r="L1" s="51" t="s">
        <v>76</v>
      </c>
      <c r="M1" s="51" t="s">
        <v>77</v>
      </c>
      <c r="N1" s="51" t="s">
        <v>78</v>
      </c>
      <c r="O1" s="51" t="s">
        <v>79</v>
      </c>
      <c r="P1" s="51" t="s">
        <v>80</v>
      </c>
      <c r="Q1" s="51" t="s">
        <v>81</v>
      </c>
      <c r="R1" s="51" t="s">
        <v>82</v>
      </c>
      <c r="S1" s="51" t="s">
        <v>83</v>
      </c>
      <c r="T1" s="51" t="s">
        <v>84</v>
      </c>
      <c r="U1" s="51" t="s">
        <v>85</v>
      </c>
      <c r="V1" s="51" t="s">
        <v>86</v>
      </c>
      <c r="W1" s="51" t="s">
        <v>87</v>
      </c>
      <c r="X1" s="51" t="s">
        <v>88</v>
      </c>
      <c r="Y1" s="51" t="s">
        <v>89</v>
      </c>
      <c r="Z1" s="51" t="s">
        <v>90</v>
      </c>
      <c r="AA1" s="51" t="s">
        <v>91</v>
      </c>
      <c r="AB1" s="51" t="s">
        <v>92</v>
      </c>
      <c r="AC1" s="51" t="s">
        <v>93</v>
      </c>
      <c r="AD1" s="51" t="s">
        <v>94</v>
      </c>
      <c r="AE1" s="51" t="s">
        <v>95</v>
      </c>
      <c r="AF1" s="51" t="s">
        <v>96</v>
      </c>
      <c r="AG1" s="51" t="s">
        <v>97</v>
      </c>
      <c r="AH1" s="51" t="s">
        <v>98</v>
      </c>
      <c r="AI1" s="51" t="s">
        <v>99</v>
      </c>
      <c r="AJ1" s="51" t="s">
        <v>100</v>
      </c>
      <c r="AK1" s="51" t="s">
        <v>101</v>
      </c>
      <c r="AL1" s="51" t="s">
        <v>102</v>
      </c>
      <c r="AM1" s="51" t="s">
        <v>103</v>
      </c>
      <c r="AN1" s="51" t="s">
        <v>104</v>
      </c>
      <c r="AO1" s="51" t="s">
        <v>105</v>
      </c>
      <c r="AP1" s="51" t="s">
        <v>106</v>
      </c>
      <c r="AQ1" s="51" t="s">
        <v>107</v>
      </c>
      <c r="AR1" s="51" t="s">
        <v>108</v>
      </c>
      <c r="AS1" s="51" t="s">
        <v>109</v>
      </c>
      <c r="AT1" s="51" t="s">
        <v>110</v>
      </c>
      <c r="AU1" s="51" t="s">
        <v>111</v>
      </c>
      <c r="AV1" s="51" t="s">
        <v>112</v>
      </c>
      <c r="AW1" s="51" t="s">
        <v>113</v>
      </c>
      <c r="AX1" s="51" t="s">
        <v>114</v>
      </c>
      <c r="AY1" s="51" t="s">
        <v>115</v>
      </c>
      <c r="AZ1" s="51" t="s">
        <v>116</v>
      </c>
      <c r="BA1" s="51" t="s">
        <v>117</v>
      </c>
      <c r="BB1" t="s">
        <v>118</v>
      </c>
      <c r="BC1" t="s">
        <v>0</v>
      </c>
    </row>
    <row r="2" spans="1:55" x14ac:dyDescent="0.25">
      <c r="A2" t="str">
        <f>'Sem01'!A4</f>
        <v>Bouxthay</v>
      </c>
      <c r="B2" s="22">
        <f>'Sem01'!O4</f>
        <v>244</v>
      </c>
      <c r="C2" s="65">
        <f>'Sem 02'!O4</f>
        <v>478.2</v>
      </c>
      <c r="D2" s="65">
        <f>'Sem 03'!O4</f>
        <v>487.7</v>
      </c>
      <c r="E2" s="65">
        <f>'Sem 04'!O4</f>
        <v>703.35</v>
      </c>
      <c r="F2" s="65">
        <f>'Sem 05'!O4</f>
        <v>540.95000000000005</v>
      </c>
      <c r="G2" s="65">
        <f>'Sem 06'!O4</f>
        <v>945.19999999999993</v>
      </c>
      <c r="H2" s="65">
        <f>'Sem 07'!O4</f>
        <v>2594</v>
      </c>
      <c r="I2" s="65">
        <f>'Sem 08'!O4</f>
        <v>1001.4499999999999</v>
      </c>
      <c r="J2" s="65">
        <f>'Sem 09'!O4</f>
        <v>642.15000000000009</v>
      </c>
      <c r="K2" s="65">
        <f>'Sem 10'!O4</f>
        <v>886.45</v>
      </c>
      <c r="L2" s="65">
        <f>'Sem 11'!O4</f>
        <v>733.58999999999992</v>
      </c>
      <c r="M2" s="65">
        <f>'Sem 12'!O4</f>
        <v>436.8</v>
      </c>
      <c r="N2" s="65">
        <f>'Sem 13'!O4</f>
        <v>895.65</v>
      </c>
      <c r="O2" s="65">
        <f>'Sem 14'!O4</f>
        <v>517.4</v>
      </c>
      <c r="P2" s="65">
        <f>'Sem 15'!O4</f>
        <v>427.9</v>
      </c>
      <c r="Q2" s="65">
        <f>'Sem 16'!O4</f>
        <v>904.2</v>
      </c>
      <c r="R2" s="12">
        <f>'Sem 17'!O4</f>
        <v>2746.9</v>
      </c>
      <c r="S2" s="65">
        <f>'Sem 18'!O4</f>
        <v>654.79999999999995</v>
      </c>
      <c r="T2" s="65">
        <f>'Sem 19'!O4</f>
        <v>3563.6499999999996</v>
      </c>
      <c r="U2" s="65">
        <f>'Sem 20'!O4</f>
        <v>381.2</v>
      </c>
      <c r="V2" s="65">
        <f>'Sem 21'!O4</f>
        <v>468.75</v>
      </c>
      <c r="W2" s="65">
        <f>'Sem 22'!O4</f>
        <v>887.15</v>
      </c>
      <c r="X2" s="65">
        <f>'Sem 23'!O4</f>
        <v>396.8</v>
      </c>
      <c r="Y2" s="65">
        <f>'Sem 24'!O4</f>
        <v>748.3</v>
      </c>
      <c r="Z2" s="65">
        <f>'Sem 25'!O4</f>
        <v>1050.2</v>
      </c>
      <c r="AA2" s="65">
        <f>'Sem 26'!O4</f>
        <v>946.06</v>
      </c>
      <c r="AB2" s="65">
        <f>'Sem 27'!O4</f>
        <v>966.1400000000001</v>
      </c>
      <c r="AC2" s="65">
        <f>'Sem 28'!O4</f>
        <v>452.9</v>
      </c>
      <c r="AD2" s="65">
        <f>'Sem 29'!O4</f>
        <v>432.52000000000004</v>
      </c>
      <c r="AE2" s="65">
        <f>'Sem 30'!O4</f>
        <v>0</v>
      </c>
      <c r="AF2" s="65">
        <f>'Sem 31'!O4</f>
        <v>0</v>
      </c>
      <c r="AG2">
        <f>'Sem 32'!O4</f>
        <v>531.5</v>
      </c>
      <c r="AH2">
        <f>'Sem 33'!O4</f>
        <v>1143.1500000000001</v>
      </c>
      <c r="AI2">
        <f>'Sem 34'!O4</f>
        <v>439.95</v>
      </c>
      <c r="AJ2">
        <f>'Sem 35'!O4</f>
        <v>588.04</v>
      </c>
      <c r="AK2" s="65">
        <f>'Sem 36'!O4</f>
        <v>0</v>
      </c>
      <c r="AL2" s="65">
        <f>'Sem 37'!O4</f>
        <v>0</v>
      </c>
      <c r="AM2" s="65">
        <f>'Sem 38'!O4</f>
        <v>343.84999999999997</v>
      </c>
      <c r="AN2">
        <f>'Sem 39'!O4</f>
        <v>196.4</v>
      </c>
      <c r="AO2">
        <f>'Sem 40'!O4</f>
        <v>537.87</v>
      </c>
      <c r="AP2">
        <f>'Sem 41'!O4</f>
        <v>582.95000000000005</v>
      </c>
      <c r="AQ2">
        <f>'Sem 42'!O4</f>
        <v>253</v>
      </c>
      <c r="AR2">
        <f>'Sem 43'!O4</f>
        <v>641.9</v>
      </c>
      <c r="AS2">
        <f>'Sem 44'!O4</f>
        <v>673.95</v>
      </c>
      <c r="AT2">
        <f>'Sem 45'!O4</f>
        <v>708.30000000000007</v>
      </c>
      <c r="AU2">
        <f>'Sem 46'!O4</f>
        <v>639.51</v>
      </c>
      <c r="AV2">
        <f>'Sem 47'!O4</f>
        <v>222.81</v>
      </c>
      <c r="AW2">
        <f>'Sem 48'!O4</f>
        <v>606.75</v>
      </c>
      <c r="AX2">
        <f>'Sem 49'!O4</f>
        <v>275</v>
      </c>
      <c r="AY2">
        <f>'Sem 50'!O4</f>
        <v>750</v>
      </c>
      <c r="AZ2">
        <f>'Sem 51'!O4</f>
        <v>1505.81</v>
      </c>
      <c r="BA2">
        <f>'Sem 52'!O4</f>
        <v>519.9</v>
      </c>
      <c r="BB2" s="22">
        <f>SUM(B2:BA2)</f>
        <v>37295.000000000007</v>
      </c>
      <c r="BC2" t="str">
        <f>A2</f>
        <v>Bouxthay</v>
      </c>
    </row>
    <row r="3" spans="1:55" x14ac:dyDescent="0.25">
      <c r="A3" t="str">
        <f>'Sem01'!A5</f>
        <v>Coquelicot</v>
      </c>
      <c r="B3" s="22">
        <f>'Sem01'!O5</f>
        <v>105</v>
      </c>
      <c r="C3" s="65">
        <f>'Sem 02'!O5</f>
        <v>226.2</v>
      </c>
      <c r="D3" s="65">
        <f>'Sem 03'!O5</f>
        <v>164.05</v>
      </c>
      <c r="E3" s="65">
        <f>'Sem 04'!O5</f>
        <v>50</v>
      </c>
      <c r="F3" s="65">
        <f>'Sem 05'!O5</f>
        <v>79</v>
      </c>
      <c r="G3" s="65">
        <f>'Sem 06'!O5</f>
        <v>0</v>
      </c>
      <c r="H3" s="65">
        <f>'Sem 07'!O5</f>
        <v>217.25</v>
      </c>
      <c r="I3" s="65">
        <f>'Sem 08'!O5</f>
        <v>196.75</v>
      </c>
      <c r="J3" s="65">
        <f>'Sem 09'!O5</f>
        <v>124.5</v>
      </c>
      <c r="K3" s="65">
        <f>'Sem 10'!O5</f>
        <v>227.2</v>
      </c>
      <c r="L3" s="65">
        <f>'Sem 11'!O5</f>
        <v>108</v>
      </c>
      <c r="M3" s="65">
        <f>'Sem 12'!O5</f>
        <v>81</v>
      </c>
      <c r="N3" s="65">
        <f>'Sem 13'!O5</f>
        <v>108</v>
      </c>
      <c r="O3" s="65">
        <f>'Sem 14'!O5</f>
        <v>194.3</v>
      </c>
      <c r="P3" s="65">
        <f>'Sem 15'!O5</f>
        <v>156</v>
      </c>
      <c r="Q3" s="65">
        <f>'Sem 16'!O5</f>
        <v>84</v>
      </c>
      <c r="R3" s="12">
        <f>'Sem 17'!O5</f>
        <v>815.5</v>
      </c>
      <c r="S3" s="65">
        <f>'Sem 18'!O5</f>
        <v>0</v>
      </c>
      <c r="T3" s="65">
        <f>'Sem 19'!O5</f>
        <v>284.05</v>
      </c>
      <c r="U3" s="65">
        <f>'Sem 20'!O5</f>
        <v>207.3</v>
      </c>
      <c r="V3" s="65">
        <f>'Sem 21'!O5</f>
        <v>85</v>
      </c>
      <c r="W3" s="65">
        <f>'Sem 22'!O5</f>
        <v>103</v>
      </c>
      <c r="X3" s="65">
        <f>'Sem 23'!O5</f>
        <v>66.5</v>
      </c>
      <c r="Y3" s="65">
        <f>'Sem 24'!O5</f>
        <v>0</v>
      </c>
      <c r="Z3" s="65">
        <f>'Sem 25'!O5</f>
        <v>193.5</v>
      </c>
      <c r="AA3" s="65">
        <f>'Sem 26'!O5</f>
        <v>125</v>
      </c>
      <c r="AB3" s="65">
        <f>'Sem 27'!O5</f>
        <v>54.3</v>
      </c>
      <c r="AC3" s="65">
        <f>'Sem 28'!O5</f>
        <v>0</v>
      </c>
      <c r="AD3" s="65">
        <f>'Sem 29'!O5</f>
        <v>0</v>
      </c>
      <c r="AE3" s="65">
        <f>'Sem 30'!O5</f>
        <v>0</v>
      </c>
      <c r="AF3" s="65">
        <f>'Sem 31'!O5</f>
        <v>0</v>
      </c>
      <c r="AG3">
        <f>'Sem 32'!O5</f>
        <v>0</v>
      </c>
      <c r="AH3">
        <f>'Sem 33'!O5</f>
        <v>73.75</v>
      </c>
      <c r="AI3">
        <f>'Sem 34'!O5</f>
        <v>118.5</v>
      </c>
      <c r="AJ3">
        <f>'Sem 35'!O5</f>
        <v>109.22</v>
      </c>
      <c r="AK3" s="65">
        <f>'Sem 36'!O5</f>
        <v>0</v>
      </c>
      <c r="AL3" s="65">
        <f>'Sem 37'!O5</f>
        <v>0</v>
      </c>
      <c r="AM3" s="65">
        <f>'Sem 38'!O5</f>
        <v>106.75</v>
      </c>
      <c r="AN3">
        <f>'Sem 39'!O5</f>
        <v>97.2</v>
      </c>
      <c r="AO3">
        <f>'Sem 40'!O5</f>
        <v>109.5</v>
      </c>
      <c r="AP3">
        <f>'Sem 41'!O5</f>
        <v>0</v>
      </c>
      <c r="AQ3">
        <f>'Sem 42'!O5</f>
        <v>155.30000000000001</v>
      </c>
      <c r="AR3">
        <f>'Sem 43'!O5</f>
        <v>108.75</v>
      </c>
      <c r="AS3">
        <f>'Sem 44'!O5</f>
        <v>60</v>
      </c>
      <c r="AT3">
        <f>'Sem 45'!O5</f>
        <v>100.75</v>
      </c>
      <c r="AU3">
        <f>'Sem 46'!O5</f>
        <v>47.5</v>
      </c>
      <c r="AV3">
        <f>'Sem 47'!O5</f>
        <v>0</v>
      </c>
      <c r="AW3">
        <f>'Sem 48'!O5</f>
        <v>0</v>
      </c>
      <c r="AX3">
        <f>'Sem 49'!O5</f>
        <v>0</v>
      </c>
      <c r="AY3">
        <f>'Sem 50'!O5</f>
        <v>0</v>
      </c>
      <c r="AZ3">
        <f>'Sem 51'!O5</f>
        <v>0</v>
      </c>
      <c r="BA3">
        <f>'Sem 52'!O5</f>
        <v>0</v>
      </c>
      <c r="BB3" s="65">
        <f t="shared" ref="BB3:BB35" si="0">SUM(B3:BA3)</f>
        <v>5142.6200000000008</v>
      </c>
      <c r="BC3" t="str">
        <f t="shared" ref="BC3:BC25" si="1">A3</f>
        <v>Coquelicot</v>
      </c>
    </row>
    <row r="4" spans="1:55" x14ac:dyDescent="0.25">
      <c r="A4" t="str">
        <f>'Sem01'!A6</f>
        <v>Dobbelstein</v>
      </c>
      <c r="B4" s="22">
        <f>'Sem01'!O6</f>
        <v>428.5</v>
      </c>
      <c r="C4" s="65">
        <f>'Sem 02'!O6</f>
        <v>495.25</v>
      </c>
      <c r="D4" s="65">
        <f>'Sem 03'!O6</f>
        <v>172.3</v>
      </c>
      <c r="E4" s="65">
        <f>'Sem 04'!O6</f>
        <v>424.25</v>
      </c>
      <c r="F4" s="65">
        <f>'Sem 05'!O6</f>
        <v>825.54</v>
      </c>
      <c r="G4" s="65">
        <f>'Sem 06'!O6</f>
        <v>525.79999999999995</v>
      </c>
      <c r="H4" s="65">
        <f>'Sem 07'!O6</f>
        <v>1079.5</v>
      </c>
      <c r="I4" s="65">
        <f>'Sem 08'!O6</f>
        <v>474.75</v>
      </c>
      <c r="J4" s="65">
        <f>'Sem 09'!O6</f>
        <v>424.1</v>
      </c>
      <c r="K4" s="65">
        <f>'Sem 10'!O6</f>
        <v>473.9</v>
      </c>
      <c r="L4" s="65">
        <f>'Sem 11'!O6</f>
        <v>163.25</v>
      </c>
      <c r="M4" s="65">
        <f>'Sem 12'!O6</f>
        <v>300.10000000000002</v>
      </c>
      <c r="N4" s="65">
        <f>'Sem 13'!O6</f>
        <v>688.6</v>
      </c>
      <c r="O4" s="65">
        <f>'Sem 14'!O6</f>
        <v>295.75</v>
      </c>
      <c r="P4" s="65">
        <f>'Sem 15'!O6</f>
        <v>389</v>
      </c>
      <c r="Q4" s="65">
        <f>'Sem 16'!O6</f>
        <v>534.29999999999995</v>
      </c>
      <c r="R4" s="12">
        <f>'Sem 17'!O6</f>
        <v>418.6</v>
      </c>
      <c r="S4" s="65">
        <f>'Sem 18'!O6</f>
        <v>121.5</v>
      </c>
      <c r="T4" s="65">
        <f>'Sem 19'!O6</f>
        <v>919.6</v>
      </c>
      <c r="U4" s="65">
        <f>'Sem 20'!O6</f>
        <v>460.9</v>
      </c>
      <c r="V4" s="65">
        <f>'Sem 21'!O6</f>
        <v>156.5</v>
      </c>
      <c r="W4" s="65">
        <f>'Sem 22'!O6</f>
        <v>349.9</v>
      </c>
      <c r="X4" s="65">
        <f>'Sem 23'!O6</f>
        <v>332.46</v>
      </c>
      <c r="Y4" s="65">
        <f>'Sem 24'!O6</f>
        <v>581.79999999999995</v>
      </c>
      <c r="Z4" s="65">
        <f>'Sem 25'!O6</f>
        <v>167</v>
      </c>
      <c r="AA4" s="65">
        <f>'Sem 26'!O6</f>
        <v>697.55</v>
      </c>
      <c r="AB4" s="65">
        <f>'Sem 27'!O6</f>
        <v>494.45</v>
      </c>
      <c r="AC4" s="65">
        <f>'Sem 28'!O6</f>
        <v>206</v>
      </c>
      <c r="AD4" s="65">
        <f>'Sem 29'!O6</f>
        <v>382.35</v>
      </c>
      <c r="AE4" s="65">
        <f>'Sem 30'!O6</f>
        <v>305.8</v>
      </c>
      <c r="AF4" s="65">
        <f>'Sem 31'!O6</f>
        <v>362.7</v>
      </c>
      <c r="AG4">
        <f>'Sem 32'!O6</f>
        <v>462.89</v>
      </c>
      <c r="AH4">
        <f>'Sem 33'!O6</f>
        <v>555.5</v>
      </c>
      <c r="AI4">
        <f>'Sem 34'!O6</f>
        <v>477.5</v>
      </c>
      <c r="AJ4">
        <f>'Sem 35'!O6</f>
        <v>459.66</v>
      </c>
      <c r="AK4" s="65">
        <f>'Sem 36'!O6</f>
        <v>0</v>
      </c>
      <c r="AL4" s="65">
        <f>'Sem 37'!O6</f>
        <v>0</v>
      </c>
      <c r="AM4" s="65">
        <f>'Sem 38'!O6</f>
        <v>642.5</v>
      </c>
      <c r="AN4">
        <f>'Sem 39'!O6</f>
        <v>747.56</v>
      </c>
      <c r="AO4">
        <f>'Sem 40'!O6</f>
        <v>278.5</v>
      </c>
      <c r="AP4">
        <f>'Sem 41'!O6</f>
        <v>302.25</v>
      </c>
      <c r="AQ4">
        <f>'Sem 42'!O6</f>
        <v>353.95</v>
      </c>
      <c r="AR4">
        <f>'Sem 43'!O6</f>
        <v>807.2</v>
      </c>
      <c r="AS4">
        <f>'Sem 44'!O6</f>
        <v>637.51</v>
      </c>
      <c r="AT4">
        <f>'Sem 45'!O6</f>
        <v>607.25</v>
      </c>
      <c r="AU4">
        <f>'Sem 46'!O6</f>
        <v>0</v>
      </c>
      <c r="AV4">
        <f>'Sem 47'!O6</f>
        <v>315</v>
      </c>
      <c r="AW4">
        <f>'Sem 48'!O6</f>
        <v>601.45000000000005</v>
      </c>
      <c r="AX4">
        <f>'Sem 49'!O6</f>
        <v>275.16000000000003</v>
      </c>
      <c r="AY4">
        <f>'Sem 50'!O6</f>
        <v>187.5</v>
      </c>
      <c r="AZ4">
        <f>'Sem 51'!O6</f>
        <v>1484.26</v>
      </c>
      <c r="BA4">
        <f>'Sem 52'!O6</f>
        <v>0</v>
      </c>
      <c r="BB4" s="65">
        <f t="shared" si="0"/>
        <v>22847.64</v>
      </c>
      <c r="BC4" t="str">
        <f t="shared" si="1"/>
        <v>Dobbelstein</v>
      </c>
    </row>
    <row r="5" spans="1:55" x14ac:dyDescent="0.25">
      <c r="A5" t="str">
        <f>'Sem01'!A7</f>
        <v>Dubuisson</v>
      </c>
      <c r="B5" s="22">
        <f>'Sem01'!O7</f>
        <v>404.85</v>
      </c>
      <c r="C5" s="65">
        <f>'Sem 02'!O7</f>
        <v>241.7</v>
      </c>
      <c r="D5" s="65">
        <f>'Sem 03'!O7</f>
        <v>452.35</v>
      </c>
      <c r="E5" s="65">
        <f>'Sem 04'!O7</f>
        <v>304.40000000000003</v>
      </c>
      <c r="F5" s="65">
        <f>'Sem 05'!O7</f>
        <v>368</v>
      </c>
      <c r="G5" s="65">
        <f>'Sem 06'!O7</f>
        <v>304.35000000000002</v>
      </c>
      <c r="H5" s="65">
        <f>'Sem 07'!O7</f>
        <v>1541.35</v>
      </c>
      <c r="I5" s="65">
        <f>'Sem 08'!O7</f>
        <v>566.25</v>
      </c>
      <c r="J5" s="65">
        <f>'Sem 09'!O7</f>
        <v>387.7</v>
      </c>
      <c r="K5" s="65">
        <f>'Sem 10'!O7</f>
        <v>396.5</v>
      </c>
      <c r="L5" s="65">
        <f>'Sem 11'!O7</f>
        <v>668</v>
      </c>
      <c r="M5" s="65">
        <f>'Sem 12'!O7</f>
        <v>588.94999999999993</v>
      </c>
      <c r="N5" s="65">
        <f>'Sem 13'!O7</f>
        <v>641.04999999999995</v>
      </c>
      <c r="O5" s="65">
        <f>'Sem 14'!O7</f>
        <v>388.5</v>
      </c>
      <c r="P5" s="65">
        <f>'Sem 15'!O7</f>
        <v>423.05</v>
      </c>
      <c r="Q5" s="65">
        <f>'Sem 16'!O7</f>
        <v>574.9</v>
      </c>
      <c r="R5" s="12">
        <f>'Sem 17'!O7</f>
        <v>1363.05</v>
      </c>
      <c r="S5" s="65">
        <f>'Sem 18'!O7</f>
        <v>245.95</v>
      </c>
      <c r="T5" s="65">
        <f>'Sem 19'!O7</f>
        <v>1707.55</v>
      </c>
      <c r="U5" s="65">
        <f>'Sem 20'!O7</f>
        <v>435.9</v>
      </c>
      <c r="V5" s="65">
        <f>'Sem 21'!O7</f>
        <v>943.65</v>
      </c>
      <c r="W5" s="65">
        <f>'Sem 22'!O7</f>
        <v>100</v>
      </c>
      <c r="X5" s="65">
        <f>'Sem 23'!O7</f>
        <v>575.95000000000005</v>
      </c>
      <c r="Y5" s="65">
        <f>'Sem 24'!O7</f>
        <v>197</v>
      </c>
      <c r="Z5" s="65">
        <f>'Sem 25'!O7</f>
        <v>598.5</v>
      </c>
      <c r="AA5" s="65">
        <f>'Sem 26'!O7</f>
        <v>467.9</v>
      </c>
      <c r="AB5" s="65">
        <f>'Sem 27'!O7</f>
        <v>521.75</v>
      </c>
      <c r="AC5" s="65">
        <f>'Sem 28'!O7</f>
        <v>450.79999999999995</v>
      </c>
      <c r="AD5" s="65">
        <f>'Sem 29'!O7</f>
        <v>270.75</v>
      </c>
      <c r="AE5" s="65">
        <f>'Sem 30'!O7</f>
        <v>430.19999999999993</v>
      </c>
      <c r="AF5" s="65">
        <f>'Sem 31'!O7</f>
        <v>427.7</v>
      </c>
      <c r="AG5">
        <f>'Sem 32'!O7</f>
        <v>471.75</v>
      </c>
      <c r="AH5">
        <f>'Sem 33'!O7</f>
        <v>504.1</v>
      </c>
      <c r="AI5">
        <f>'Sem 34'!O7</f>
        <v>611</v>
      </c>
      <c r="AJ5">
        <f>'Sem 35'!O7</f>
        <v>633.15</v>
      </c>
      <c r="AK5" s="65">
        <f>'Sem 36'!O7</f>
        <v>0</v>
      </c>
      <c r="AL5" s="65">
        <f>'Sem 37'!O7</f>
        <v>0</v>
      </c>
      <c r="AM5" s="65">
        <f>'Sem 38'!O7</f>
        <v>573.65</v>
      </c>
      <c r="AN5">
        <f>'Sem 39'!O7</f>
        <v>541.4</v>
      </c>
      <c r="AO5">
        <f>'Sem 40'!O7</f>
        <v>677.18999999999994</v>
      </c>
      <c r="AP5">
        <f>'Sem 41'!O7</f>
        <v>473.7</v>
      </c>
      <c r="AQ5">
        <f>'Sem 42'!O7</f>
        <v>382.75</v>
      </c>
      <c r="AR5">
        <f>'Sem 43'!O7</f>
        <v>1026.55</v>
      </c>
      <c r="AS5">
        <f>'Sem 44'!O7</f>
        <v>666.35</v>
      </c>
      <c r="AT5">
        <f>'Sem 45'!O7</f>
        <v>201.15</v>
      </c>
      <c r="AU5">
        <f>'Sem 46'!O7</f>
        <v>345.2</v>
      </c>
      <c r="AV5">
        <f>'Sem 47'!O7</f>
        <v>281.75</v>
      </c>
      <c r="AW5">
        <f>'Sem 48'!O7</f>
        <v>537</v>
      </c>
      <c r="AX5">
        <f>'Sem 49'!O7</f>
        <v>458.5</v>
      </c>
      <c r="AY5">
        <f>'Sem 50'!O7</f>
        <v>285.95</v>
      </c>
      <c r="AZ5">
        <f>'Sem 51'!O7</f>
        <v>997.84999999999991</v>
      </c>
      <c r="BA5">
        <f>'Sem 52'!O7</f>
        <v>0</v>
      </c>
      <c r="BB5" s="65">
        <f t="shared" si="0"/>
        <v>26657.54</v>
      </c>
      <c r="BC5" t="str">
        <f t="shared" si="1"/>
        <v>Dubuisson</v>
      </c>
    </row>
    <row r="6" spans="1:55" x14ac:dyDescent="0.25">
      <c r="A6" t="str">
        <f>'Sem01'!A8</f>
        <v>Eurofleurs</v>
      </c>
      <c r="B6" s="22">
        <f>'Sem01'!O8</f>
        <v>0</v>
      </c>
      <c r="C6" s="65">
        <f>'Sem 02'!O8</f>
        <v>0</v>
      </c>
      <c r="D6" s="65">
        <f>'Sem 03'!O8</f>
        <v>0</v>
      </c>
      <c r="E6" s="65">
        <f>'Sem 04'!O8</f>
        <v>0</v>
      </c>
      <c r="F6" s="65">
        <f>'Sem 05'!O8</f>
        <v>0</v>
      </c>
      <c r="G6" s="65">
        <f>'Sem 06'!O8</f>
        <v>0</v>
      </c>
      <c r="H6" s="65">
        <f>'Sem 07'!O8</f>
        <v>0</v>
      </c>
      <c r="I6" s="65">
        <f>'Sem 08'!O8</f>
        <v>0</v>
      </c>
      <c r="J6" s="65">
        <f>'Sem 09'!O8</f>
        <v>282.2</v>
      </c>
      <c r="K6" s="65">
        <f>'Sem 10'!O8</f>
        <v>0</v>
      </c>
      <c r="L6" s="65">
        <f>'Sem 11'!O8</f>
        <v>0</v>
      </c>
      <c r="M6" s="65">
        <f>'Sem 12'!O8</f>
        <v>0</v>
      </c>
      <c r="N6" s="65">
        <f>'Sem 13'!O8</f>
        <v>150.69999999999999</v>
      </c>
      <c r="O6" s="65">
        <f>'Sem 14'!O8</f>
        <v>0</v>
      </c>
      <c r="P6" s="65">
        <f>'Sem 15'!O8</f>
        <v>93.5</v>
      </c>
      <c r="Q6" s="65">
        <f>'Sem 16'!O8</f>
        <v>0</v>
      </c>
      <c r="R6" s="12">
        <f>'Sem 17'!O8</f>
        <v>1023</v>
      </c>
      <c r="S6" s="65">
        <f>'Sem 18'!O8</f>
        <v>0</v>
      </c>
      <c r="T6" s="65">
        <f>'Sem 19'!O8</f>
        <v>1071</v>
      </c>
      <c r="U6" s="65">
        <f>'Sem 20'!O8</f>
        <v>0</v>
      </c>
      <c r="V6" s="65">
        <f>'Sem 21'!O8</f>
        <v>0</v>
      </c>
      <c r="W6" s="65">
        <f>'Sem 22'!O8</f>
        <v>0</v>
      </c>
      <c r="X6" s="65">
        <f>'Sem 23'!O8</f>
        <v>0</v>
      </c>
      <c r="Y6" s="65">
        <f>'Sem 24'!O8</f>
        <v>0</v>
      </c>
      <c r="Z6" s="65">
        <f>'Sem 25'!O8</f>
        <v>0</v>
      </c>
      <c r="AA6" s="65">
        <f>'Sem 26'!O8</f>
        <v>0</v>
      </c>
      <c r="AB6" s="65">
        <f>'Sem 27'!O8</f>
        <v>0</v>
      </c>
      <c r="AC6" s="65">
        <f>'Sem 28'!O8</f>
        <v>0</v>
      </c>
      <c r="AD6" s="65">
        <f>'Sem 29'!O8</f>
        <v>0</v>
      </c>
      <c r="AE6" s="65">
        <f>'Sem 30'!O8</f>
        <v>0</v>
      </c>
      <c r="AF6" s="65">
        <f>'Sem 31'!O8</f>
        <v>0</v>
      </c>
      <c r="AG6">
        <f>'Sem 32'!O8</f>
        <v>0</v>
      </c>
      <c r="AH6">
        <f>'Sem 33'!O8</f>
        <v>0</v>
      </c>
      <c r="AI6">
        <f>'Sem 34'!O8</f>
        <v>0</v>
      </c>
      <c r="AJ6">
        <f>'Sem 35'!O8</f>
        <v>0</v>
      </c>
      <c r="AK6" s="65">
        <f>'Sem 36'!O8</f>
        <v>0</v>
      </c>
      <c r="AL6" s="65">
        <f>'Sem 37'!O8</f>
        <v>0</v>
      </c>
      <c r="AM6" s="65">
        <f>'Sem 38'!O8</f>
        <v>0</v>
      </c>
      <c r="AN6">
        <f>'Sem 39'!O8</f>
        <v>0</v>
      </c>
      <c r="AO6">
        <f>'Sem 40'!O8</f>
        <v>0</v>
      </c>
      <c r="AP6">
        <f>'Sem 41'!O8</f>
        <v>156</v>
      </c>
      <c r="AQ6">
        <f>'Sem 42'!O8</f>
        <v>0</v>
      </c>
      <c r="AR6">
        <f>'Sem 43'!O8</f>
        <v>337.85</v>
      </c>
      <c r="AS6">
        <f>'Sem 44'!O8</f>
        <v>67.5</v>
      </c>
      <c r="AT6">
        <f>'Sem 45'!O8</f>
        <v>0</v>
      </c>
      <c r="AU6">
        <f>'Sem 46'!O8</f>
        <v>0</v>
      </c>
      <c r="AV6">
        <f>'Sem 47'!O8</f>
        <v>0</v>
      </c>
      <c r="AW6">
        <f>'Sem 48'!O8</f>
        <v>0</v>
      </c>
      <c r="AX6">
        <f>'Sem 49'!O8</f>
        <v>0</v>
      </c>
      <c r="AY6">
        <f>'Sem 50'!O8</f>
        <v>0</v>
      </c>
      <c r="AZ6">
        <f>'Sem 51'!O8</f>
        <v>0</v>
      </c>
      <c r="BA6">
        <f>'Sem 52'!O8</f>
        <v>0</v>
      </c>
      <c r="BB6" s="65">
        <f t="shared" si="0"/>
        <v>3181.75</v>
      </c>
      <c r="BC6" t="str">
        <f t="shared" si="1"/>
        <v>Eurofleurs</v>
      </c>
    </row>
    <row r="7" spans="1:55" x14ac:dyDescent="0.25">
      <c r="A7" t="str">
        <f>'Sem01'!A9</f>
        <v>Fraiture</v>
      </c>
      <c r="B7" s="22">
        <f>'Sem01'!O9</f>
        <v>245.7</v>
      </c>
      <c r="C7" s="65">
        <f>'Sem 02'!O9</f>
        <v>299</v>
      </c>
      <c r="D7" s="65">
        <f>'Sem 03'!O9</f>
        <v>0</v>
      </c>
      <c r="E7" s="65">
        <f>'Sem 04'!O9</f>
        <v>204.2</v>
      </c>
      <c r="F7" s="65">
        <f>'Sem 05'!O9</f>
        <v>0</v>
      </c>
      <c r="G7" s="65">
        <f>'Sem 06'!O9</f>
        <v>219.8</v>
      </c>
      <c r="H7" s="65">
        <f>'Sem 07'!O9</f>
        <v>1130</v>
      </c>
      <c r="I7" s="65">
        <f>'Sem 08'!O9</f>
        <v>261.60000000000002</v>
      </c>
      <c r="J7" s="65">
        <f>'Sem 09'!O9</f>
        <v>281.75</v>
      </c>
      <c r="K7" s="65">
        <f>'Sem 10'!O9</f>
        <v>402.36</v>
      </c>
      <c r="L7" s="65">
        <f>'Sem 11'!O9</f>
        <v>237.8</v>
      </c>
      <c r="M7" s="65">
        <f>'Sem 12'!O9</f>
        <v>397.6</v>
      </c>
      <c r="N7" s="65">
        <f>'Sem 13'!O9</f>
        <v>442.05</v>
      </c>
      <c r="O7" s="65">
        <f>'Sem 14'!O9</f>
        <v>0</v>
      </c>
      <c r="P7" s="65">
        <f>'Sem 15'!O9</f>
        <v>226.56</v>
      </c>
      <c r="Q7" s="65">
        <f>'Sem 16'!O9</f>
        <v>302.3</v>
      </c>
      <c r="R7" s="12">
        <f>'Sem 17'!O9</f>
        <v>1544.56</v>
      </c>
      <c r="S7" s="65">
        <f>'Sem 18'!O9</f>
        <v>240.05</v>
      </c>
      <c r="T7" s="65">
        <f>'Sem 19'!O9</f>
        <v>2344.0500000000002</v>
      </c>
      <c r="U7" s="65">
        <f>'Sem 20'!O9</f>
        <v>359.4</v>
      </c>
      <c r="V7" s="65">
        <f>'Sem 21'!O9</f>
        <v>191.25</v>
      </c>
      <c r="W7" s="65">
        <f>'Sem 22'!O9</f>
        <v>167.75</v>
      </c>
      <c r="X7" s="65">
        <f>'Sem 23'!O9</f>
        <v>297.25</v>
      </c>
      <c r="Y7" s="65">
        <f>'Sem 24'!O9</f>
        <v>279.7</v>
      </c>
      <c r="Z7" s="65">
        <f>'Sem 25'!O9</f>
        <v>281.14999999999998</v>
      </c>
      <c r="AA7" s="65">
        <f>'Sem 26'!O9</f>
        <v>334.65</v>
      </c>
      <c r="AB7" s="65">
        <f>'Sem 27'!O9</f>
        <v>254</v>
      </c>
      <c r="AC7" s="65">
        <f>'Sem 28'!O9</f>
        <v>428.2</v>
      </c>
      <c r="AD7" s="65">
        <f>'Sem 29'!O9</f>
        <v>92</v>
      </c>
      <c r="AE7" s="65">
        <f>'Sem 30'!O9</f>
        <v>0</v>
      </c>
      <c r="AF7" s="65">
        <f>'Sem 31'!O9</f>
        <v>396.55</v>
      </c>
      <c r="AG7">
        <f>'Sem 32'!O9</f>
        <v>0</v>
      </c>
      <c r="AH7">
        <f>'Sem 33'!O9</f>
        <v>0</v>
      </c>
      <c r="AI7">
        <f>'Sem 34'!O9</f>
        <v>586.85</v>
      </c>
      <c r="AJ7">
        <f>'Sem 35'!O9</f>
        <v>247</v>
      </c>
      <c r="AK7" s="65">
        <f>'Sem 36'!O9</f>
        <v>0</v>
      </c>
      <c r="AL7" s="65">
        <f>'Sem 37'!O9</f>
        <v>0</v>
      </c>
      <c r="AM7" s="65">
        <f>'Sem 38'!O9</f>
        <v>356.05</v>
      </c>
      <c r="AN7">
        <f>'Sem 39'!O9</f>
        <v>527.94000000000005</v>
      </c>
      <c r="AO7">
        <f>'Sem 40'!O9</f>
        <v>363.5</v>
      </c>
      <c r="AP7">
        <f>'Sem 41'!O9</f>
        <v>356.45</v>
      </c>
      <c r="AQ7">
        <f>'Sem 42'!O9</f>
        <v>139.69999999999999</v>
      </c>
      <c r="AR7">
        <f>'Sem 43'!O9</f>
        <v>289.39999999999998</v>
      </c>
      <c r="AS7">
        <f>'Sem 44'!O9</f>
        <v>191.15</v>
      </c>
      <c r="AT7">
        <f>'Sem 45'!O9</f>
        <v>150.25</v>
      </c>
      <c r="AU7">
        <f>'Sem 46'!O9</f>
        <v>143.5</v>
      </c>
      <c r="AV7">
        <f>'Sem 47'!O9</f>
        <v>309.75</v>
      </c>
      <c r="AW7">
        <f>'Sem 48'!O9</f>
        <v>0</v>
      </c>
      <c r="AX7">
        <f>'Sem 49'!O9</f>
        <v>347.07</v>
      </c>
      <c r="AY7">
        <f>'Sem 50'!O9</f>
        <v>178.5</v>
      </c>
      <c r="AZ7">
        <f>'Sem 51'!O9</f>
        <v>769.33999999999992</v>
      </c>
      <c r="BA7">
        <f>'Sem 52'!O9</f>
        <v>0</v>
      </c>
      <c r="BB7" s="65">
        <f t="shared" si="0"/>
        <v>16817.73</v>
      </c>
      <c r="BC7" t="str">
        <f t="shared" si="1"/>
        <v>Fraiture</v>
      </c>
    </row>
    <row r="8" spans="1:55" x14ac:dyDescent="0.25">
      <c r="A8" s="62" t="str">
        <f>'Sem01'!A10</f>
        <v>Garden Service</v>
      </c>
      <c r="B8" s="63">
        <f>'Sem01'!O10</f>
        <v>0</v>
      </c>
      <c r="C8" s="65">
        <f>'Sem 02'!O10</f>
        <v>0</v>
      </c>
      <c r="D8" s="65">
        <f>'Sem 03'!O10</f>
        <v>0</v>
      </c>
      <c r="E8" s="65">
        <f>'Sem 04'!O10</f>
        <v>0</v>
      </c>
      <c r="F8" s="65">
        <f>'Sem 05'!O10</f>
        <v>0</v>
      </c>
      <c r="G8" s="65">
        <f>'Sem 06'!O10</f>
        <v>0</v>
      </c>
      <c r="H8" s="65">
        <f>'Sem 07'!O10</f>
        <v>0</v>
      </c>
      <c r="I8" s="65">
        <f>'Sem 08'!O10</f>
        <v>0</v>
      </c>
      <c r="J8" s="65">
        <f>'Sem 09'!O10</f>
        <v>0</v>
      </c>
      <c r="K8" s="65">
        <f>'Sem 10'!O10</f>
        <v>0</v>
      </c>
      <c r="L8" s="65">
        <f>'Sem 11'!O10</f>
        <v>0</v>
      </c>
      <c r="M8" s="65">
        <f>'Sem 12'!O10</f>
        <v>0</v>
      </c>
      <c r="N8" s="65">
        <f>'Sem 13'!O10</f>
        <v>0</v>
      </c>
      <c r="O8" s="65">
        <f>'Sem 14'!O10</f>
        <v>0</v>
      </c>
      <c r="P8" s="65">
        <f>'Sem 15'!O10</f>
        <v>0</v>
      </c>
      <c r="Q8" s="65">
        <f>'Sem 16'!O10</f>
        <v>0</v>
      </c>
      <c r="R8" s="12">
        <f>'Sem 17'!O10</f>
        <v>0</v>
      </c>
      <c r="S8" s="144">
        <f>'Sem 18'!O10</f>
        <v>0</v>
      </c>
      <c r="T8" s="65">
        <f>'Sem 19'!O10</f>
        <v>0</v>
      </c>
      <c r="U8" s="65">
        <f>'Sem 20'!O10</f>
        <v>0</v>
      </c>
      <c r="V8" s="65">
        <f>'Sem 21'!O10</f>
        <v>0</v>
      </c>
      <c r="W8" s="65">
        <f>'Sem 22'!O10</f>
        <v>0</v>
      </c>
      <c r="X8" s="65">
        <f>'Sem 23'!O10</f>
        <v>0</v>
      </c>
      <c r="Y8" s="65">
        <f>'Sem 24'!O10</f>
        <v>0</v>
      </c>
      <c r="Z8" s="65">
        <f>'Sem 25'!O10</f>
        <v>0</v>
      </c>
      <c r="AA8" s="65">
        <f>'Sem 26'!O10</f>
        <v>0</v>
      </c>
      <c r="AB8" s="65">
        <f>'Sem 27'!O10</f>
        <v>0</v>
      </c>
      <c r="AC8" s="65">
        <f>'Sem 28'!O10</f>
        <v>0</v>
      </c>
      <c r="AD8" s="65">
        <f>'Sem 29'!O10</f>
        <v>0</v>
      </c>
      <c r="AE8" s="65">
        <f>'Sem 30'!O10</f>
        <v>0</v>
      </c>
      <c r="AF8" s="65">
        <f>'Sem 31'!O10</f>
        <v>0</v>
      </c>
      <c r="AG8">
        <f>'Sem 32'!O10</f>
        <v>0</v>
      </c>
      <c r="AH8">
        <f>'Sem 33'!O10</f>
        <v>0</v>
      </c>
      <c r="AI8">
        <f>'Sem 34'!O10</f>
        <v>0</v>
      </c>
      <c r="AJ8">
        <f>'Sem 35'!O10</f>
        <v>0</v>
      </c>
      <c r="AK8" s="65">
        <f>'Sem 36'!O10</f>
        <v>0</v>
      </c>
      <c r="AL8" s="65">
        <f>'Sem 37'!O10</f>
        <v>0</v>
      </c>
      <c r="AM8" s="65">
        <f>'Sem 38'!O10</f>
        <v>0</v>
      </c>
      <c r="AN8">
        <f>'Sem 39'!O10</f>
        <v>0</v>
      </c>
      <c r="AO8">
        <f>'Sem 40'!O10</f>
        <v>0</v>
      </c>
      <c r="AP8">
        <f>'Sem 41'!O10</f>
        <v>0</v>
      </c>
      <c r="AQ8">
        <f>'Sem 42'!O10</f>
        <v>0</v>
      </c>
      <c r="AR8">
        <f>'Sem 43'!O10</f>
        <v>0</v>
      </c>
      <c r="AS8">
        <f>'Sem 44'!O10</f>
        <v>0</v>
      </c>
      <c r="AT8">
        <f>'Sem 45'!O10</f>
        <v>0</v>
      </c>
      <c r="AU8">
        <f>'Sem 46'!O10</f>
        <v>0</v>
      </c>
      <c r="AV8">
        <f>'Sem 47'!O10</f>
        <v>0</v>
      </c>
      <c r="AW8">
        <f>'Sem 48'!O10</f>
        <v>0</v>
      </c>
      <c r="AX8">
        <f>'Sem 49'!O10</f>
        <v>0</v>
      </c>
      <c r="AY8">
        <f>'Sem 50'!O10</f>
        <v>0</v>
      </c>
      <c r="AZ8">
        <f>'Sem 51'!O10</f>
        <v>0</v>
      </c>
      <c r="BA8">
        <f>'Sem 52'!O10</f>
        <v>0</v>
      </c>
      <c r="BB8" s="65">
        <f t="shared" si="0"/>
        <v>0</v>
      </c>
      <c r="BC8" t="str">
        <f t="shared" si="1"/>
        <v>Garden Service</v>
      </c>
    </row>
    <row r="9" spans="1:55" x14ac:dyDescent="0.25">
      <c r="A9" t="str">
        <f>'Sem01'!A11</f>
        <v>Grosjean</v>
      </c>
      <c r="B9" s="22">
        <f>'Sem01'!O11</f>
        <v>0</v>
      </c>
      <c r="C9" s="65">
        <f>'Sem 02'!O11</f>
        <v>189</v>
      </c>
      <c r="D9" s="65">
        <f>'Sem 03'!O11</f>
        <v>75.25</v>
      </c>
      <c r="E9" s="65">
        <f>'Sem 04'!O11</f>
        <v>83.9</v>
      </c>
      <c r="F9" s="63">
        <f>'Sem 05'!O11</f>
        <v>0</v>
      </c>
      <c r="G9" s="65">
        <f>'Sem 06'!O11</f>
        <v>0</v>
      </c>
      <c r="H9" s="65">
        <f>'Sem 07'!O11</f>
        <v>0</v>
      </c>
      <c r="I9" s="65">
        <f>'Sem 08'!O11</f>
        <v>0</v>
      </c>
      <c r="J9" s="65">
        <f>'Sem 09'!O11</f>
        <v>0</v>
      </c>
      <c r="K9" s="65">
        <f>'Sem 10'!O11</f>
        <v>0</v>
      </c>
      <c r="L9" s="65">
        <f>'Sem 11'!O11</f>
        <v>0</v>
      </c>
      <c r="M9" s="65">
        <f>'Sem 12'!O11</f>
        <v>0</v>
      </c>
      <c r="N9" s="65">
        <f>'Sem 13'!O11</f>
        <v>0</v>
      </c>
      <c r="O9" s="65">
        <f>'Sem 14'!O11</f>
        <v>0</v>
      </c>
      <c r="P9" s="65">
        <f>'Sem 15'!O11</f>
        <v>0</v>
      </c>
      <c r="Q9" s="65">
        <f>'Sem 16'!O11</f>
        <v>0</v>
      </c>
      <c r="R9" s="12">
        <f>'Sem 17'!O11</f>
        <v>0</v>
      </c>
      <c r="S9" s="144">
        <f>'Sem 18'!O11</f>
        <v>0</v>
      </c>
      <c r="T9" s="65">
        <f>'Sem 19'!O11</f>
        <v>0</v>
      </c>
      <c r="U9" s="65">
        <f>'Sem 20'!O11</f>
        <v>0</v>
      </c>
      <c r="V9" s="65">
        <f>'Sem 21'!O11</f>
        <v>0</v>
      </c>
      <c r="W9" s="65">
        <f>'Sem 22'!O11</f>
        <v>0</v>
      </c>
      <c r="X9" s="65">
        <f>'Sem 23'!O11</f>
        <v>0</v>
      </c>
      <c r="Y9" s="65">
        <f>'Sem 24'!O11</f>
        <v>0</v>
      </c>
      <c r="Z9" s="65">
        <f>'Sem 25'!O11</f>
        <v>0</v>
      </c>
      <c r="AA9" s="65">
        <f>'Sem 26'!O11</f>
        <v>0</v>
      </c>
      <c r="AB9" s="65">
        <f>'Sem 27'!O11</f>
        <v>0</v>
      </c>
      <c r="AC9" s="65">
        <f>'Sem 28'!O11</f>
        <v>0</v>
      </c>
      <c r="AD9" s="65">
        <f>'Sem 29'!O11</f>
        <v>0</v>
      </c>
      <c r="AE9" s="65">
        <f>'Sem 30'!O11</f>
        <v>0</v>
      </c>
      <c r="AF9" s="65">
        <f>'Sem 31'!O11</f>
        <v>0</v>
      </c>
      <c r="AG9">
        <f>'Sem 32'!O11</f>
        <v>0</v>
      </c>
      <c r="AH9">
        <f>'Sem 33'!O11</f>
        <v>0</v>
      </c>
      <c r="AI9">
        <f>'Sem 34'!O11</f>
        <v>0</v>
      </c>
      <c r="AJ9">
        <f>'Sem 35'!O11</f>
        <v>0</v>
      </c>
      <c r="AK9" s="65">
        <f>'Sem 36'!O11</f>
        <v>0</v>
      </c>
      <c r="AL9" s="65">
        <f>'Sem 37'!O11</f>
        <v>0</v>
      </c>
      <c r="AM9" s="65">
        <f>'Sem 38'!O11</f>
        <v>0</v>
      </c>
      <c r="AN9">
        <f>'Sem 39'!O11</f>
        <v>0</v>
      </c>
      <c r="AO9">
        <f>'Sem 40'!O11</f>
        <v>0</v>
      </c>
      <c r="AP9">
        <f>'Sem 41'!O11</f>
        <v>0</v>
      </c>
      <c r="AQ9">
        <f>'Sem 42'!O11</f>
        <v>0</v>
      </c>
      <c r="AR9">
        <f>'Sem 43'!O11</f>
        <v>0</v>
      </c>
      <c r="AS9">
        <f>'Sem 44'!O11</f>
        <v>0</v>
      </c>
      <c r="AT9">
        <f>'Sem 45'!O11</f>
        <v>0</v>
      </c>
      <c r="AU9">
        <f>'Sem 46'!O11</f>
        <v>0</v>
      </c>
      <c r="AV9">
        <f>'Sem 47'!O11</f>
        <v>0</v>
      </c>
      <c r="AW9">
        <f>'Sem 48'!O11</f>
        <v>0</v>
      </c>
      <c r="AX9">
        <f>'Sem 49'!O11</f>
        <v>0</v>
      </c>
      <c r="AY9">
        <f>'Sem 50'!O11</f>
        <v>0</v>
      </c>
      <c r="AZ9">
        <f>'Sem 51'!O11</f>
        <v>0</v>
      </c>
      <c r="BA9">
        <f>'Sem 52'!O11</f>
        <v>0</v>
      </c>
      <c r="BB9" s="65">
        <f t="shared" si="0"/>
        <v>348.15</v>
      </c>
      <c r="BC9" t="str">
        <f t="shared" si="1"/>
        <v>Grosjean</v>
      </c>
    </row>
    <row r="10" spans="1:55" x14ac:dyDescent="0.25">
      <c r="A10" t="str">
        <f>'Sem01'!A12</f>
        <v>Jardin Perdu</v>
      </c>
      <c r="B10" s="22">
        <f>'Sem01'!O12</f>
        <v>0</v>
      </c>
      <c r="C10" s="65">
        <f>'Sem 02'!O12</f>
        <v>0</v>
      </c>
      <c r="D10" s="65">
        <f>'Sem 03'!O12</f>
        <v>298.7</v>
      </c>
      <c r="E10" s="65">
        <f>'Sem 04'!O12</f>
        <v>0</v>
      </c>
      <c r="F10" s="65">
        <f>'Sem 05'!O12</f>
        <v>0</v>
      </c>
      <c r="G10" s="65">
        <f>'Sem 06'!O12</f>
        <v>0</v>
      </c>
      <c r="H10" s="65">
        <f>'Sem 07'!O12</f>
        <v>0</v>
      </c>
      <c r="I10" s="65">
        <f>'Sem 08'!O12</f>
        <v>0</v>
      </c>
      <c r="J10" s="65">
        <f>'Sem 09'!O12</f>
        <v>539.51</v>
      </c>
      <c r="K10" s="65">
        <f>'Sem 10'!O12</f>
        <v>0</v>
      </c>
      <c r="L10" s="65">
        <f>'Sem 11'!O12</f>
        <v>0</v>
      </c>
      <c r="M10" s="65">
        <f>'Sem 12'!O12</f>
        <v>0</v>
      </c>
      <c r="N10" s="65">
        <f>'Sem 13'!O12</f>
        <v>0</v>
      </c>
      <c r="O10" s="65">
        <f>'Sem 14'!O12</f>
        <v>720.2</v>
      </c>
      <c r="P10" s="65">
        <f>'Sem 15'!O12</f>
        <v>0</v>
      </c>
      <c r="Q10" s="65">
        <f>'Sem 16'!O12</f>
        <v>0</v>
      </c>
      <c r="R10" s="12">
        <f>'Sem 17'!O12</f>
        <v>786.16</v>
      </c>
      <c r="S10" s="65">
        <f>'Sem 18'!O12</f>
        <v>0</v>
      </c>
      <c r="T10" s="65">
        <f>'Sem 19'!O12</f>
        <v>590.20000000000005</v>
      </c>
      <c r="U10" s="65">
        <f>'Sem 20'!O12</f>
        <v>0</v>
      </c>
      <c r="V10" s="65">
        <f>'Sem 21'!O12</f>
        <v>0</v>
      </c>
      <c r="W10" s="65">
        <f>'Sem 22'!O12</f>
        <v>0</v>
      </c>
      <c r="X10" s="65">
        <f>'Sem 23'!O12</f>
        <v>233.1</v>
      </c>
      <c r="Y10" s="65">
        <f>'Sem 24'!O12</f>
        <v>0</v>
      </c>
      <c r="Z10" s="65">
        <f>'Sem 25'!O12</f>
        <v>0</v>
      </c>
      <c r="AA10" s="65">
        <f>'Sem 26'!O12</f>
        <v>0</v>
      </c>
      <c r="AB10" s="65">
        <f>'Sem 27'!O12</f>
        <v>0</v>
      </c>
      <c r="AC10" s="65">
        <f>'Sem 28'!O12</f>
        <v>0</v>
      </c>
      <c r="AD10" s="65">
        <f>'Sem 29'!O12</f>
        <v>0</v>
      </c>
      <c r="AE10" s="65">
        <f>'Sem 30'!O12</f>
        <v>0</v>
      </c>
      <c r="AF10" s="65">
        <f>'Sem 31'!O12</f>
        <v>0</v>
      </c>
      <c r="AG10">
        <f>'Sem 32'!O12</f>
        <v>0</v>
      </c>
      <c r="AH10">
        <f>'Sem 33'!O12</f>
        <v>0</v>
      </c>
      <c r="AI10">
        <f>'Sem 34'!O12</f>
        <v>0</v>
      </c>
      <c r="AJ10">
        <f>'Sem 35'!O12</f>
        <v>0</v>
      </c>
      <c r="AK10" s="65">
        <f>'Sem 36'!O12</f>
        <v>0</v>
      </c>
      <c r="AL10" s="65">
        <f>'Sem 37'!O12</f>
        <v>0</v>
      </c>
      <c r="AM10" s="65">
        <f>'Sem 38'!O12</f>
        <v>0</v>
      </c>
      <c r="AN10">
        <f>'Sem 39'!O12</f>
        <v>109.4</v>
      </c>
      <c r="AO10">
        <f>'Sem 40'!O12</f>
        <v>0</v>
      </c>
      <c r="AP10">
        <f>'Sem 41'!O12</f>
        <v>0</v>
      </c>
      <c r="AQ10">
        <f>'Sem 42'!O12</f>
        <v>0</v>
      </c>
      <c r="AR10">
        <f>'Sem 43'!O12</f>
        <v>0</v>
      </c>
      <c r="AS10">
        <f>'Sem 44'!O12</f>
        <v>0</v>
      </c>
      <c r="AT10">
        <f>'Sem 45'!O12</f>
        <v>0</v>
      </c>
      <c r="AU10">
        <f>'Sem 46'!O12</f>
        <v>0</v>
      </c>
      <c r="AV10">
        <f>'Sem 47'!O12</f>
        <v>0</v>
      </c>
      <c r="AW10">
        <f>'Sem 48'!O12</f>
        <v>0</v>
      </c>
      <c r="AX10">
        <f>'Sem 49'!O12</f>
        <v>0</v>
      </c>
      <c r="AY10">
        <f>'Sem 50'!O12</f>
        <v>0</v>
      </c>
      <c r="AZ10">
        <f>'Sem 51'!O12</f>
        <v>167.18</v>
      </c>
      <c r="BA10">
        <f>'Sem 52'!O12</f>
        <v>0</v>
      </c>
      <c r="BB10" s="65">
        <f t="shared" si="0"/>
        <v>3444.4500000000003</v>
      </c>
      <c r="BC10" t="str">
        <f t="shared" si="1"/>
        <v>Jardin Perdu</v>
      </c>
    </row>
    <row r="11" spans="1:55" x14ac:dyDescent="0.25">
      <c r="A11" t="str">
        <f>'Sem01'!A13</f>
        <v>Lacroix</v>
      </c>
      <c r="B11" s="22">
        <f>'Sem01'!O13</f>
        <v>221.25</v>
      </c>
      <c r="C11" s="65">
        <f>'Sem 02'!O13</f>
        <v>458.65</v>
      </c>
      <c r="D11" s="65">
        <f>'Sem 03'!O13</f>
        <v>357.2</v>
      </c>
      <c r="E11" s="65">
        <f>'Sem 04'!O13</f>
        <v>495.6</v>
      </c>
      <c r="F11" s="65">
        <f>'Sem 05'!O13</f>
        <v>374.45</v>
      </c>
      <c r="G11" s="65">
        <f>'Sem 06'!O13</f>
        <v>427.3</v>
      </c>
      <c r="H11" s="65">
        <f>'Sem 07'!O13</f>
        <v>1435</v>
      </c>
      <c r="I11" s="65">
        <f>'Sem 08'!O13</f>
        <v>592.5</v>
      </c>
      <c r="J11" s="65">
        <f>'Sem 09'!O13</f>
        <v>530.75</v>
      </c>
      <c r="K11" s="65">
        <f>'Sem 10'!O13</f>
        <v>1137.93</v>
      </c>
      <c r="L11" s="65">
        <f>'Sem 11'!O13</f>
        <v>492.25</v>
      </c>
      <c r="M11" s="65">
        <f>'Sem 12'!O13</f>
        <v>733.05</v>
      </c>
      <c r="N11" s="65">
        <f>'Sem 13'!O13</f>
        <v>593.15</v>
      </c>
      <c r="O11" s="65">
        <f>'Sem 14'!O13</f>
        <v>272.7</v>
      </c>
      <c r="P11" s="65">
        <f>'Sem 15'!O13</f>
        <v>361.15</v>
      </c>
      <c r="Q11" s="65">
        <f>'Sem 16'!O13</f>
        <v>471.6</v>
      </c>
      <c r="R11" s="12">
        <f>'Sem 17'!O13</f>
        <v>396.68</v>
      </c>
      <c r="S11" s="65">
        <f>'Sem 18'!O13</f>
        <v>0</v>
      </c>
      <c r="T11" s="65">
        <f>'Sem 19'!O13</f>
        <v>1076.56</v>
      </c>
      <c r="U11" s="65">
        <f>'Sem 20'!O13</f>
        <v>369.05</v>
      </c>
      <c r="V11" s="65">
        <f>'Sem 21'!O13</f>
        <v>370.85</v>
      </c>
      <c r="W11" s="65">
        <f>'Sem 22'!O13</f>
        <v>295.8</v>
      </c>
      <c r="X11" s="65">
        <f>'Sem 23'!O13</f>
        <v>395.1</v>
      </c>
      <c r="Y11" s="65">
        <f>'Sem 24'!O13</f>
        <v>443.8</v>
      </c>
      <c r="Z11" s="65">
        <f>'Sem 25'!O13</f>
        <v>329.3</v>
      </c>
      <c r="AA11" s="65">
        <f>'Sem 26'!O13</f>
        <v>393.95</v>
      </c>
      <c r="AB11" s="65">
        <f>'Sem 27'!O13</f>
        <v>867.23</v>
      </c>
      <c r="AC11" s="65">
        <f>'Sem 28'!O13</f>
        <v>430.7</v>
      </c>
      <c r="AD11" s="65">
        <f>'Sem 29'!O13</f>
        <v>241</v>
      </c>
      <c r="AE11" s="65">
        <f>'Sem 30'!O13</f>
        <v>369.5</v>
      </c>
      <c r="AF11" s="65">
        <f>'Sem 31'!O13</f>
        <v>384.75</v>
      </c>
      <c r="AG11">
        <f>'Sem 32'!O13</f>
        <v>468.7</v>
      </c>
      <c r="AH11">
        <f>'Sem 33'!O13</f>
        <v>0</v>
      </c>
      <c r="AI11">
        <f>'Sem 34'!O13</f>
        <v>736.05</v>
      </c>
      <c r="AJ11">
        <f>'Sem 35'!O13</f>
        <v>532</v>
      </c>
      <c r="AK11" s="65">
        <f>'Sem 36'!O13</f>
        <v>0</v>
      </c>
      <c r="AL11" s="65">
        <f>'Sem 37'!O13</f>
        <v>0</v>
      </c>
      <c r="AM11" s="65">
        <f>'Sem 38'!O13</f>
        <v>432.15</v>
      </c>
      <c r="AN11">
        <f>'Sem 39'!O13</f>
        <v>412.25</v>
      </c>
      <c r="AO11">
        <f>'Sem 40'!O13</f>
        <v>309.39999999999998</v>
      </c>
      <c r="AP11">
        <f>'Sem 41'!O13</f>
        <v>702.6</v>
      </c>
      <c r="AQ11">
        <f>'Sem 42'!O13</f>
        <v>374.55</v>
      </c>
      <c r="AR11">
        <f>'Sem 43'!O13</f>
        <v>718.35</v>
      </c>
      <c r="AS11">
        <f>'Sem 44'!O13</f>
        <v>501.65</v>
      </c>
      <c r="AT11">
        <f>'Sem 45'!O13</f>
        <v>434.75</v>
      </c>
      <c r="AU11">
        <f>'Sem 46'!O13</f>
        <v>465</v>
      </c>
      <c r="AV11">
        <f>'Sem 47'!O13</f>
        <v>402.05</v>
      </c>
      <c r="AW11">
        <f>'Sem 48'!O13</f>
        <v>567.99</v>
      </c>
      <c r="AX11">
        <f>'Sem 49'!O13</f>
        <v>513.41</v>
      </c>
      <c r="AY11">
        <f>'Sem 50'!O13</f>
        <v>384.95</v>
      </c>
      <c r="AZ11">
        <f>'Sem 51'!O13</f>
        <v>1000</v>
      </c>
      <c r="BA11">
        <f>'Sem 52'!O13</f>
        <v>0</v>
      </c>
      <c r="BB11" s="65">
        <f t="shared" si="0"/>
        <v>24274.65</v>
      </c>
      <c r="BC11" t="str">
        <f t="shared" si="1"/>
        <v>Lacroix</v>
      </c>
    </row>
    <row r="12" spans="1:55" x14ac:dyDescent="0.25">
      <c r="A12" t="str">
        <f>'Sem01'!A14</f>
        <v>Leheureux</v>
      </c>
      <c r="B12" s="22">
        <f>'Sem01'!O14</f>
        <v>88</v>
      </c>
      <c r="C12" s="65">
        <f>'Sem 02'!O14</f>
        <v>168.8</v>
      </c>
      <c r="D12" s="65">
        <f>'Sem 03'!O14</f>
        <v>62.8</v>
      </c>
      <c r="E12" s="65">
        <f>'Sem 04'!O14</f>
        <v>97.75</v>
      </c>
      <c r="F12" s="65">
        <f>'Sem 05'!O14</f>
        <v>49.5</v>
      </c>
      <c r="G12" s="65">
        <f>'Sem 06'!O14</f>
        <v>159</v>
      </c>
      <c r="H12" s="65">
        <f>'Sem 07'!O14</f>
        <v>264.7</v>
      </c>
      <c r="I12" s="65">
        <f>'Sem 08'!O14</f>
        <v>74.5</v>
      </c>
      <c r="J12" s="65">
        <f>'Sem 09'!O14</f>
        <v>120.7</v>
      </c>
      <c r="K12" s="65">
        <f>'Sem 10'!O14</f>
        <v>52</v>
      </c>
      <c r="L12" s="65">
        <f>'Sem 11'!O14</f>
        <v>67.8</v>
      </c>
      <c r="M12" s="65">
        <f>'Sem 12'!O14</f>
        <v>93</v>
      </c>
      <c r="N12" s="65">
        <f>'Sem 13'!O14</f>
        <v>108.3</v>
      </c>
      <c r="O12" s="65">
        <f>'Sem 14'!O14</f>
        <v>96.3</v>
      </c>
      <c r="P12" s="65">
        <f>'Sem 15'!O14</f>
        <v>69.5</v>
      </c>
      <c r="Q12" s="65">
        <f>'Sem 16'!O14</f>
        <v>0</v>
      </c>
      <c r="R12" s="12">
        <f>'Sem 17'!O14</f>
        <v>272.3</v>
      </c>
      <c r="S12" s="65">
        <f>'Sem 18'!O14</f>
        <v>438.2</v>
      </c>
      <c r="T12" s="65">
        <f>'Sem 19'!O14</f>
        <v>597.70000000000005</v>
      </c>
      <c r="U12" s="65">
        <f>'Sem 20'!O14</f>
        <v>40</v>
      </c>
      <c r="V12" s="65">
        <f>'Sem 21'!O14</f>
        <v>77.2</v>
      </c>
      <c r="W12" s="65">
        <f>'Sem 22'!O14</f>
        <v>95.7</v>
      </c>
      <c r="X12" s="65">
        <f>'Sem 23'!O14</f>
        <v>43.7</v>
      </c>
      <c r="Y12" s="65">
        <f>'Sem 24'!O14</f>
        <v>67.45</v>
      </c>
      <c r="Z12" s="65">
        <f>'Sem 25'!O14</f>
        <v>100.06</v>
      </c>
      <c r="AA12" s="65">
        <f>'Sem 26'!O14</f>
        <v>127</v>
      </c>
      <c r="AB12" s="65">
        <f>'Sem 27'!O14</f>
        <v>137.80000000000001</v>
      </c>
      <c r="AC12" s="65">
        <f>'Sem 28'!O14</f>
        <v>0</v>
      </c>
      <c r="AD12" s="65">
        <f>'Sem 29'!O14</f>
        <v>85</v>
      </c>
      <c r="AE12" s="65">
        <f>'Sem 30'!O14</f>
        <v>91.55</v>
      </c>
      <c r="AF12" s="65">
        <f>'Sem 31'!O14</f>
        <v>62.3</v>
      </c>
      <c r="AG12">
        <f>'Sem 32'!O14</f>
        <v>79.55</v>
      </c>
      <c r="AH12">
        <f>'Sem 33'!O14</f>
        <v>61.2</v>
      </c>
      <c r="AI12">
        <f>'Sem 34'!O14</f>
        <v>0</v>
      </c>
      <c r="AJ12">
        <f>'Sem 35'!O14</f>
        <v>93.3</v>
      </c>
      <c r="AK12" s="65">
        <f>'Sem 36'!O14</f>
        <v>0</v>
      </c>
      <c r="AL12" s="65">
        <f>'Sem 37'!O14</f>
        <v>0</v>
      </c>
      <c r="AM12" s="65">
        <f>'Sem 38'!O14</f>
        <v>107.69</v>
      </c>
      <c r="AN12">
        <f>'Sem 39'!O14</f>
        <v>0</v>
      </c>
      <c r="AO12">
        <f>'Sem 40'!O14</f>
        <v>75.3</v>
      </c>
      <c r="AP12">
        <f>'Sem 41'!O14</f>
        <v>127.6</v>
      </c>
      <c r="AQ12">
        <f>'Sem 42'!O14</f>
        <v>0</v>
      </c>
      <c r="AR12">
        <f>'Sem 43'!O14</f>
        <v>149.1</v>
      </c>
      <c r="AS12">
        <f>'Sem 44'!O14</f>
        <v>116.9</v>
      </c>
      <c r="AT12">
        <f>'Sem 45'!O14</f>
        <v>0</v>
      </c>
      <c r="AU12">
        <f>'Sem 46'!O14</f>
        <v>89.3</v>
      </c>
      <c r="AV12">
        <f>'Sem 47'!O14</f>
        <v>133.35</v>
      </c>
      <c r="AW12">
        <f>'Sem 48'!O14</f>
        <v>59.3</v>
      </c>
      <c r="AX12">
        <f>'Sem 49'!O14</f>
        <v>125.3</v>
      </c>
      <c r="AY12">
        <f>'Sem 50'!O14</f>
        <v>146.9</v>
      </c>
      <c r="AZ12">
        <f>'Sem 51'!O14</f>
        <v>244.6</v>
      </c>
      <c r="BA12">
        <f>'Sem 52'!O14</f>
        <v>0</v>
      </c>
      <c r="BB12" s="65">
        <f t="shared" si="0"/>
        <v>5418.0000000000009</v>
      </c>
      <c r="BC12" t="str">
        <f t="shared" si="1"/>
        <v>Leheureux</v>
      </c>
    </row>
    <row r="13" spans="1:55" x14ac:dyDescent="0.25">
      <c r="A13" t="str">
        <f>'Sem01'!A15</f>
        <v>Natur'L</v>
      </c>
      <c r="B13" s="22">
        <f>'Sem01'!O15</f>
        <v>71.7</v>
      </c>
      <c r="C13" s="65">
        <f>'Sem 02'!O15</f>
        <v>210</v>
      </c>
      <c r="D13" s="65">
        <f>'Sem 03'!O15</f>
        <v>0</v>
      </c>
      <c r="E13" s="65">
        <f>'Sem 04'!O15</f>
        <v>450.4</v>
      </c>
      <c r="F13" s="65">
        <f>'Sem 05'!O15</f>
        <v>385.25</v>
      </c>
      <c r="G13" s="65">
        <f>'Sem 06'!O15</f>
        <v>647.20000000000005</v>
      </c>
      <c r="H13" s="65">
        <f>'Sem 07'!O15</f>
        <v>1734.5</v>
      </c>
      <c r="I13" s="65">
        <f>'Sem 08'!O15</f>
        <v>219.79</v>
      </c>
      <c r="J13" s="65">
        <f>'Sem 09'!O15</f>
        <v>176.25</v>
      </c>
      <c r="K13" s="65">
        <f>'Sem 10'!O15</f>
        <v>548</v>
      </c>
      <c r="L13" s="65">
        <f>'Sem 11'!O15</f>
        <v>286.2</v>
      </c>
      <c r="M13" s="65">
        <f>'Sem 12'!O15</f>
        <v>395.15</v>
      </c>
      <c r="N13" s="65">
        <f>'Sem 13'!O15</f>
        <v>437.7</v>
      </c>
      <c r="O13" s="65">
        <f>'Sem 14'!O15</f>
        <v>261.45</v>
      </c>
      <c r="P13" s="65">
        <f>'Sem 15'!O15</f>
        <v>0</v>
      </c>
      <c r="Q13" s="65">
        <f>'Sem 16'!O15</f>
        <v>326.14999999999998</v>
      </c>
      <c r="R13" s="12">
        <f>'Sem 17'!O15</f>
        <v>1517.5</v>
      </c>
      <c r="S13" s="65">
        <f>'Sem 18'!O15</f>
        <v>274.5</v>
      </c>
      <c r="T13" s="65">
        <f>'Sem 19'!O15</f>
        <v>1325.51</v>
      </c>
      <c r="U13" s="65">
        <f>'Sem 20'!O15</f>
        <v>274.25</v>
      </c>
      <c r="V13" s="65">
        <f>'Sem 21'!O15</f>
        <v>217.95</v>
      </c>
      <c r="W13" s="65">
        <f>'Sem 22'!O15</f>
        <v>218</v>
      </c>
      <c r="X13" s="65">
        <f>'Sem 23'!O15</f>
        <v>192.75</v>
      </c>
      <c r="Y13" s="65">
        <f>'Sem 24'!O15</f>
        <v>296.8</v>
      </c>
      <c r="Z13" s="65">
        <f>'Sem 25'!O15</f>
        <v>251.8</v>
      </c>
      <c r="AA13" s="65">
        <f>'Sem 26'!O15</f>
        <v>585</v>
      </c>
      <c r="AB13" s="65">
        <f>'Sem 27'!O15</f>
        <v>332.4</v>
      </c>
      <c r="AC13" s="65">
        <f>'Sem 28'!O15</f>
        <v>270.55</v>
      </c>
      <c r="AD13" s="65">
        <f>'Sem 29'!O15</f>
        <v>154.5</v>
      </c>
      <c r="AE13" s="65">
        <f>'Sem 30'!O15</f>
        <v>159.5</v>
      </c>
      <c r="AF13" s="65">
        <f>'Sem 31'!O15</f>
        <v>169.2</v>
      </c>
      <c r="AG13">
        <f>'Sem 32'!O15</f>
        <v>267.2</v>
      </c>
      <c r="AH13">
        <f>'Sem 33'!O15</f>
        <v>114.3</v>
      </c>
      <c r="AI13">
        <f>'Sem 34'!O15</f>
        <v>0</v>
      </c>
      <c r="AJ13">
        <f>'Sem 35'!O15</f>
        <v>60.5</v>
      </c>
      <c r="AK13" s="65">
        <f>'Sem 36'!O15</f>
        <v>0</v>
      </c>
      <c r="AL13" s="65">
        <f>'Sem 37'!O15</f>
        <v>0</v>
      </c>
      <c r="AM13" s="65">
        <f>'Sem 38'!O15</f>
        <v>333.36</v>
      </c>
      <c r="AN13">
        <f>'Sem 39'!O15</f>
        <v>124</v>
      </c>
      <c r="AO13">
        <f>'Sem 40'!O15</f>
        <v>289.7</v>
      </c>
      <c r="AP13">
        <f>'Sem 41'!O15</f>
        <v>266.39999999999998</v>
      </c>
      <c r="AQ13">
        <f>'Sem 42'!O15</f>
        <v>234.1</v>
      </c>
      <c r="AR13">
        <f>'Sem 43'!O15</f>
        <v>462.4</v>
      </c>
      <c r="AS13">
        <f>'Sem 44'!O15</f>
        <v>293.75</v>
      </c>
      <c r="AT13">
        <f>'Sem 45'!O15</f>
        <v>418.25</v>
      </c>
      <c r="AU13">
        <f>'Sem 46'!O15</f>
        <v>189.75</v>
      </c>
      <c r="AV13">
        <f>'Sem 47'!O15</f>
        <v>249.15</v>
      </c>
      <c r="AW13">
        <f>'Sem 48'!O15</f>
        <v>267.39999999999998</v>
      </c>
      <c r="AX13">
        <f>'Sem 49'!O15</f>
        <v>336.03</v>
      </c>
      <c r="AY13">
        <f>'Sem 50'!O15</f>
        <v>63</v>
      </c>
      <c r="AZ13">
        <f>'Sem 51'!O15</f>
        <v>970.69999999999993</v>
      </c>
      <c r="BA13">
        <f>'Sem 52'!O15</f>
        <v>0</v>
      </c>
      <c r="BB13" s="65">
        <f t="shared" si="0"/>
        <v>17329.939999999999</v>
      </c>
      <c r="BC13" t="str">
        <f t="shared" si="1"/>
        <v>Natur'L</v>
      </c>
    </row>
    <row r="14" spans="1:55" x14ac:dyDescent="0.25">
      <c r="A14" t="str">
        <f>'Sem01'!A16</f>
        <v>Peters</v>
      </c>
      <c r="B14" s="22">
        <f>'Sem01'!O16</f>
        <v>113.4</v>
      </c>
      <c r="C14" s="65">
        <f>'Sem 02'!O16</f>
        <v>164.7</v>
      </c>
      <c r="D14" s="65">
        <f>'Sem 03'!O16</f>
        <v>182.6</v>
      </c>
      <c r="E14" s="65">
        <f>'Sem 04'!O16</f>
        <v>328</v>
      </c>
      <c r="F14" s="65">
        <f>'Sem 05'!O16</f>
        <v>253</v>
      </c>
      <c r="G14" s="65">
        <f>'Sem 06'!O16</f>
        <v>191.54</v>
      </c>
      <c r="H14" s="65">
        <f>'Sem 07'!O16</f>
        <v>678.5</v>
      </c>
      <c r="I14" s="65">
        <f>'Sem 08'!O16</f>
        <v>305.89999999999998</v>
      </c>
      <c r="J14" s="65">
        <f>'Sem 09'!O16</f>
        <v>447.95</v>
      </c>
      <c r="K14" s="65">
        <f>'Sem 10'!O16</f>
        <v>221.29</v>
      </c>
      <c r="L14" s="65">
        <f>'Sem 11'!O16</f>
        <v>374.29999999999995</v>
      </c>
      <c r="M14" s="65">
        <f>'Sem 12'!O16</f>
        <v>218</v>
      </c>
      <c r="N14" s="65">
        <f>'Sem 13'!O16</f>
        <v>432.2</v>
      </c>
      <c r="O14" s="65">
        <f>'Sem 14'!O16</f>
        <v>350.7</v>
      </c>
      <c r="P14" s="65">
        <f>'Sem 15'!O16</f>
        <v>263.3</v>
      </c>
      <c r="Q14" s="65">
        <f>'Sem 16'!O16</f>
        <v>494.09000000000003</v>
      </c>
      <c r="R14" s="12">
        <f>'Sem 17'!O16</f>
        <v>1704.95</v>
      </c>
      <c r="S14" s="65">
        <f>'Sem 18'!O16</f>
        <v>0</v>
      </c>
      <c r="T14" s="65">
        <f>'Sem 19'!O16</f>
        <v>1351.64</v>
      </c>
      <c r="U14" s="65">
        <f>'Sem 20'!O16</f>
        <v>209</v>
      </c>
      <c r="V14" s="65">
        <f>'Sem 21'!O16</f>
        <v>169</v>
      </c>
      <c r="W14" s="65">
        <f>'Sem 22'!O16</f>
        <v>160.85</v>
      </c>
      <c r="X14" s="65">
        <f>'Sem 23'!O16</f>
        <v>273.45</v>
      </c>
      <c r="Y14" s="65">
        <f>'Sem 24'!O16</f>
        <v>375.9</v>
      </c>
      <c r="Z14" s="65">
        <f>'Sem 25'!O16</f>
        <v>294.5</v>
      </c>
      <c r="AA14" s="65">
        <f>'Sem 26'!O16</f>
        <v>286.64999999999998</v>
      </c>
      <c r="AB14" s="65">
        <f>'Sem 27'!O16</f>
        <v>160.94999999999999</v>
      </c>
      <c r="AC14" s="65">
        <f>'Sem 28'!O16</f>
        <v>0</v>
      </c>
      <c r="AD14" s="65">
        <f>'Sem 29'!O16</f>
        <v>0</v>
      </c>
      <c r="AE14" s="65">
        <f>'Sem 30'!O16</f>
        <v>0</v>
      </c>
      <c r="AF14" s="65">
        <f>'Sem 31'!O16</f>
        <v>0</v>
      </c>
      <c r="AG14">
        <f>'Sem 32'!O16</f>
        <v>96.95</v>
      </c>
      <c r="AH14">
        <f>'Sem 33'!O16</f>
        <v>397</v>
      </c>
      <c r="AI14">
        <f>'Sem 34'!O16</f>
        <v>499.65</v>
      </c>
      <c r="AJ14">
        <f>'Sem 35'!O16</f>
        <v>305.10000000000002</v>
      </c>
      <c r="AK14" s="65">
        <f>'Sem 36'!O16</f>
        <v>0</v>
      </c>
      <c r="AL14" s="65">
        <f>'Sem 37'!O16</f>
        <v>0</v>
      </c>
      <c r="AM14" s="65">
        <f>'Sem 38'!O16</f>
        <v>173</v>
      </c>
      <c r="AN14">
        <f>'Sem 39'!O16</f>
        <v>295.81</v>
      </c>
      <c r="AO14">
        <f>'Sem 40'!O16</f>
        <v>149.4</v>
      </c>
      <c r="AP14">
        <f>'Sem 41'!O16</f>
        <v>163</v>
      </c>
      <c r="AQ14">
        <f>'Sem 42'!O16</f>
        <v>302.41999999999996</v>
      </c>
      <c r="AR14">
        <f>'Sem 43'!O16</f>
        <v>653.52</v>
      </c>
      <c r="AS14">
        <f>'Sem 44'!O16</f>
        <v>438.45</v>
      </c>
      <c r="AT14">
        <f>'Sem 45'!O16</f>
        <v>521.65</v>
      </c>
      <c r="AU14">
        <f>'Sem 46'!O16</f>
        <v>229.85000000000002</v>
      </c>
      <c r="AV14">
        <f>'Sem 47'!O16</f>
        <v>217.64999999999998</v>
      </c>
      <c r="AW14">
        <f>'Sem 48'!O16</f>
        <v>165.4</v>
      </c>
      <c r="AX14">
        <f>'Sem 49'!O16</f>
        <v>229.4</v>
      </c>
      <c r="AY14">
        <f>'Sem 50'!O16</f>
        <v>185.79</v>
      </c>
      <c r="AZ14">
        <f>'Sem 51'!O16</f>
        <v>629.36</v>
      </c>
      <c r="BA14">
        <f>'Sem 52'!O16</f>
        <v>0</v>
      </c>
      <c r="BB14" s="65">
        <f t="shared" si="0"/>
        <v>15659.760000000002</v>
      </c>
      <c r="BC14" t="str">
        <f t="shared" si="1"/>
        <v>Peters</v>
      </c>
    </row>
    <row r="15" spans="1:55" x14ac:dyDescent="0.25">
      <c r="A15" t="str">
        <f>'Sem01'!A17</f>
        <v>Senteurs &amp; F</v>
      </c>
      <c r="B15" s="22">
        <f>'Sem01'!O17</f>
        <v>149.69999999999999</v>
      </c>
      <c r="C15" s="65">
        <f>'Sem 02'!O17</f>
        <v>32</v>
      </c>
      <c r="D15" s="65">
        <f>'Sem 03'!O17</f>
        <v>343.9</v>
      </c>
      <c r="E15" s="65">
        <f>'Sem 04'!O17</f>
        <v>81</v>
      </c>
      <c r="F15" s="65">
        <f>'Sem 05'!O17</f>
        <v>254.39999999999998</v>
      </c>
      <c r="G15" s="65">
        <f>'Sem 06'!O17</f>
        <v>219.4</v>
      </c>
      <c r="H15" s="65">
        <f>'Sem 07'!O17</f>
        <v>755.15</v>
      </c>
      <c r="I15" s="65">
        <f>'Sem 08'!O17</f>
        <v>316.10000000000002</v>
      </c>
      <c r="J15" s="65">
        <f>'Sem 09'!O17</f>
        <v>257.5</v>
      </c>
      <c r="K15" s="65">
        <f>'Sem 10'!O17</f>
        <v>482.2</v>
      </c>
      <c r="L15" s="65">
        <f>'Sem 11'!O17</f>
        <v>182.6</v>
      </c>
      <c r="M15" s="65">
        <f>'Sem 12'!O17</f>
        <v>284.10000000000002</v>
      </c>
      <c r="N15" s="65">
        <f>'Sem 13'!O17</f>
        <v>594.79999999999995</v>
      </c>
      <c r="O15" s="65">
        <f>'Sem 14'!O17</f>
        <v>170.2</v>
      </c>
      <c r="P15" s="65">
        <f>'Sem 15'!O17</f>
        <v>341.2</v>
      </c>
      <c r="Q15" s="65">
        <f>'Sem 16'!O17</f>
        <v>408.4</v>
      </c>
      <c r="R15" s="12">
        <f>'Sem 17'!O17</f>
        <v>1926.8000000000002</v>
      </c>
      <c r="S15" s="65">
        <f>'Sem 18'!O17</f>
        <v>120</v>
      </c>
      <c r="T15" s="65">
        <f>'Sem 19'!O17</f>
        <v>1646.95</v>
      </c>
      <c r="U15" s="65">
        <f>'Sem 20'!O17</f>
        <v>198.5</v>
      </c>
      <c r="V15" s="65">
        <f>'Sem 21'!O17</f>
        <v>127</v>
      </c>
      <c r="W15" s="65">
        <f>'Sem 22'!O17</f>
        <v>397.1</v>
      </c>
      <c r="X15" s="65">
        <f>'Sem 23'!O17</f>
        <v>89.5</v>
      </c>
      <c r="Y15" s="65">
        <f>'Sem 24'!O17</f>
        <v>406.25</v>
      </c>
      <c r="Z15" s="65">
        <f>'Sem 25'!O17</f>
        <v>370.20000000000005</v>
      </c>
      <c r="AA15" s="65">
        <f>'Sem 26'!O17</f>
        <v>491.9</v>
      </c>
      <c r="AB15" s="65">
        <f>'Sem 27'!O17</f>
        <v>282.55</v>
      </c>
      <c r="AC15" s="65">
        <f>'Sem 28'!O17</f>
        <v>212.60000000000002</v>
      </c>
      <c r="AD15" s="65">
        <f>'Sem 29'!O17</f>
        <v>173.7</v>
      </c>
      <c r="AE15" s="65">
        <f>'Sem 30'!O17</f>
        <v>114.2</v>
      </c>
      <c r="AF15" s="65">
        <f>'Sem 31'!O17</f>
        <v>0</v>
      </c>
      <c r="AG15">
        <f>'Sem 32'!O17</f>
        <v>0</v>
      </c>
      <c r="AH15">
        <f>'Sem 33'!O17</f>
        <v>416.15</v>
      </c>
      <c r="AI15">
        <f>'Sem 34'!O17</f>
        <v>361.3</v>
      </c>
      <c r="AJ15">
        <f>'Sem 35'!O17</f>
        <v>238.8</v>
      </c>
      <c r="AK15" s="65">
        <f>'Sem 36'!O17</f>
        <v>0</v>
      </c>
      <c r="AL15" s="65">
        <f>'Sem 37'!O17</f>
        <v>0</v>
      </c>
      <c r="AM15" s="65">
        <f>'Sem 38'!O17</f>
        <v>141.65</v>
      </c>
      <c r="AN15">
        <f>'Sem 39'!O17</f>
        <v>162</v>
      </c>
      <c r="AO15">
        <f>'Sem 40'!O17</f>
        <v>313.14999999999998</v>
      </c>
      <c r="AP15">
        <f>'Sem 41'!O17</f>
        <v>243.85</v>
      </c>
      <c r="AQ15">
        <f>'Sem 42'!O17</f>
        <v>397.70000000000005</v>
      </c>
      <c r="AR15">
        <f>'Sem 43'!O17</f>
        <v>532.9</v>
      </c>
      <c r="AS15">
        <f>'Sem 44'!O17</f>
        <v>518.95000000000005</v>
      </c>
      <c r="AT15">
        <f>'Sem 45'!O17</f>
        <v>242.89999999999998</v>
      </c>
      <c r="AU15">
        <f>'Sem 46'!O17</f>
        <v>164.5</v>
      </c>
      <c r="AV15">
        <f>'Sem 47'!O17</f>
        <v>0</v>
      </c>
      <c r="AW15">
        <f>'Sem 48'!O17</f>
        <v>718.11</v>
      </c>
      <c r="AX15">
        <f>'Sem 49'!O17</f>
        <v>376.42</v>
      </c>
      <c r="AY15">
        <f>'Sem 50'!O17</f>
        <v>142.19999999999999</v>
      </c>
      <c r="AZ15">
        <f>'Sem 51'!O17</f>
        <v>1294.5999999999999</v>
      </c>
      <c r="BA15">
        <f>'Sem 52'!O17</f>
        <v>413.6</v>
      </c>
      <c r="BB15" s="65">
        <f t="shared" si="0"/>
        <v>18108.679999999997</v>
      </c>
      <c r="BC15" t="str">
        <f t="shared" si="1"/>
        <v>Senteurs &amp; F</v>
      </c>
    </row>
    <row r="16" spans="1:55" x14ac:dyDescent="0.25">
      <c r="A16" t="str">
        <f>'Sem01'!A18</f>
        <v>Sterkendries</v>
      </c>
      <c r="B16" s="22">
        <f>'Sem01'!O18</f>
        <v>256.35000000000002</v>
      </c>
      <c r="C16" s="65">
        <f>'Sem 02'!O18</f>
        <v>270</v>
      </c>
      <c r="D16" s="65">
        <f>'Sem 03'!O18</f>
        <v>318.14999999999998</v>
      </c>
      <c r="E16" s="65">
        <f>'Sem 04'!O18</f>
        <v>327.25</v>
      </c>
      <c r="F16" s="65">
        <f>'Sem 05'!O18</f>
        <v>539.57999999999993</v>
      </c>
      <c r="G16" s="65">
        <f>'Sem 06'!O18</f>
        <v>382.15</v>
      </c>
      <c r="H16" s="65">
        <f>'Sem 07'!O18</f>
        <v>1045.45</v>
      </c>
      <c r="I16" s="65">
        <f>'Sem 08'!O18</f>
        <v>246.8</v>
      </c>
      <c r="J16" s="65">
        <f>'Sem 09'!O18</f>
        <v>0</v>
      </c>
      <c r="K16" s="65">
        <f>'Sem 10'!O18</f>
        <v>631.20000000000005</v>
      </c>
      <c r="L16" s="65">
        <f>'Sem 11'!O18</f>
        <v>357.15</v>
      </c>
      <c r="M16" s="65">
        <f>'Sem 12'!O18</f>
        <v>446.6</v>
      </c>
      <c r="N16" s="65">
        <f>'Sem 13'!O18</f>
        <v>820.99</v>
      </c>
      <c r="O16" s="65">
        <f>'Sem 14'!O18</f>
        <v>298.39999999999998</v>
      </c>
      <c r="P16" s="65">
        <f>'Sem 15'!O18</f>
        <v>274.8</v>
      </c>
      <c r="Q16" s="65">
        <f>'Sem 16'!O18</f>
        <v>394.46</v>
      </c>
      <c r="R16" s="12">
        <f>'Sem 17'!O18</f>
        <v>1012.4300000000001</v>
      </c>
      <c r="S16" s="65">
        <f>'Sem 18'!O18</f>
        <v>831.40000000000009</v>
      </c>
      <c r="T16" s="65">
        <f>'Sem 19'!O18</f>
        <v>1945.85</v>
      </c>
      <c r="U16" s="65">
        <f>'Sem 20'!O18</f>
        <v>293.8</v>
      </c>
      <c r="V16" s="65">
        <f>'Sem 21'!O18</f>
        <v>253.3</v>
      </c>
      <c r="W16" s="65">
        <f>'Sem 22'!O18</f>
        <v>401.15</v>
      </c>
      <c r="X16" s="65">
        <f>'Sem 23'!O18</f>
        <v>249.09999999999997</v>
      </c>
      <c r="Y16" s="65">
        <f>'Sem 24'!O18</f>
        <v>308.45</v>
      </c>
      <c r="Z16" s="65">
        <f>'Sem 25'!O18</f>
        <v>848.64</v>
      </c>
      <c r="AA16" s="65">
        <f>'Sem 26'!O18</f>
        <v>286.25</v>
      </c>
      <c r="AB16" s="65">
        <f>'Sem 27'!O18</f>
        <v>351.2</v>
      </c>
      <c r="AC16" s="65">
        <f>'Sem 28'!O18</f>
        <v>357.25</v>
      </c>
      <c r="AD16" s="65">
        <f>'Sem 29'!O18</f>
        <v>204.1</v>
      </c>
      <c r="AE16" s="65">
        <f>'Sem 30'!O18</f>
        <v>266.2</v>
      </c>
      <c r="AF16" s="65">
        <f>'Sem 31'!O18</f>
        <v>359.75</v>
      </c>
      <c r="AG16">
        <f>'Sem 32'!O18</f>
        <v>220.65</v>
      </c>
      <c r="AH16">
        <f>'Sem 33'!O18</f>
        <v>313.25</v>
      </c>
      <c r="AI16">
        <f>'Sem 34'!O18</f>
        <v>521.15</v>
      </c>
      <c r="AJ16">
        <f>'Sem 35'!O18</f>
        <v>193.5</v>
      </c>
      <c r="AK16" s="65">
        <f>'Sem 36'!O18</f>
        <v>0</v>
      </c>
      <c r="AL16" s="65">
        <f>'Sem 37'!O18</f>
        <v>0</v>
      </c>
      <c r="AM16" s="65">
        <f>'Sem 38'!O18</f>
        <v>221.35999999999999</v>
      </c>
      <c r="AN16">
        <f>'Sem 39'!O18</f>
        <v>347.25</v>
      </c>
      <c r="AO16">
        <f>'Sem 40'!O18</f>
        <v>384.05</v>
      </c>
      <c r="AP16">
        <f>'Sem 41'!O18</f>
        <v>301</v>
      </c>
      <c r="AQ16">
        <f>'Sem 42'!O18</f>
        <v>606.75</v>
      </c>
      <c r="AR16">
        <f>'Sem 43'!O18</f>
        <v>1393</v>
      </c>
      <c r="AS16">
        <f>'Sem 44'!O18</f>
        <v>715.95</v>
      </c>
      <c r="AT16">
        <f>'Sem 45'!O18</f>
        <v>633.79999999999995</v>
      </c>
      <c r="AU16">
        <f>'Sem 46'!O18</f>
        <v>279.79999999999995</v>
      </c>
      <c r="AV16">
        <f>'Sem 47'!O18</f>
        <v>464.3</v>
      </c>
      <c r="AW16">
        <f>'Sem 48'!O18</f>
        <v>199.5</v>
      </c>
      <c r="AX16">
        <f>'Sem 49'!O18</f>
        <v>530.4</v>
      </c>
      <c r="AY16">
        <f>'Sem 50'!O18</f>
        <v>251.35</v>
      </c>
      <c r="AZ16">
        <f>'Sem 51'!O18</f>
        <v>1110.8699999999999</v>
      </c>
      <c r="BA16">
        <f>'Sem 52'!O18</f>
        <v>0</v>
      </c>
      <c r="BB16" s="65">
        <f t="shared" si="0"/>
        <v>23266.129999999997</v>
      </c>
      <c r="BC16" t="str">
        <f t="shared" si="1"/>
        <v>Sterkendries</v>
      </c>
    </row>
    <row r="17" spans="1:55" x14ac:dyDescent="0.25">
      <c r="A17" t="s">
        <v>197</v>
      </c>
      <c r="B17" s="22">
        <f>'Sem01'!O19</f>
        <v>0</v>
      </c>
      <c r="C17" s="65">
        <f>'Sem 02'!O19</f>
        <v>0</v>
      </c>
      <c r="D17" s="65">
        <f>'Sem 03'!O19</f>
        <v>0</v>
      </c>
      <c r="E17" s="65">
        <f>'Sem 04'!O19</f>
        <v>0</v>
      </c>
      <c r="F17" s="65">
        <f>'Sem 05'!O19</f>
        <v>0</v>
      </c>
      <c r="G17" s="65">
        <f>'Sem 06'!O19</f>
        <v>600</v>
      </c>
      <c r="H17" s="65">
        <f>'Sem 07'!O19</f>
        <v>0</v>
      </c>
      <c r="I17" s="65">
        <f>'Sem 08'!O19</f>
        <v>0</v>
      </c>
      <c r="J17" s="65">
        <f>'Sem 09'!O19</f>
        <v>0</v>
      </c>
      <c r="K17" s="65">
        <f>'Sem 10'!O19</f>
        <v>0</v>
      </c>
      <c r="L17" s="65">
        <f>'Sem 11'!O19</f>
        <v>0</v>
      </c>
      <c r="M17" s="65">
        <f>'Sem 12'!O19</f>
        <v>0</v>
      </c>
      <c r="N17" s="65">
        <f>'Sem 13'!O19</f>
        <v>254.16</v>
      </c>
      <c r="O17" s="65">
        <f>'Sem 14'!O19</f>
        <v>0</v>
      </c>
      <c r="P17" s="65">
        <f>'Sem 15'!O19</f>
        <v>0</v>
      </c>
      <c r="Q17" s="65">
        <f>'Sem 16'!O19</f>
        <v>0</v>
      </c>
      <c r="R17" s="12">
        <f>'Sem 17'!O19</f>
        <v>408.5</v>
      </c>
      <c r="S17" s="65">
        <f>'Sem 18'!O19</f>
        <v>1030.8</v>
      </c>
      <c r="T17" s="65">
        <f>'Sem 19'!O19</f>
        <v>390</v>
      </c>
      <c r="U17" s="65">
        <f>'Sem 20'!O19</f>
        <v>0</v>
      </c>
      <c r="V17" s="65">
        <f>'Sem 21'!O19</f>
        <v>444.9</v>
      </c>
      <c r="W17" s="65">
        <f>'Sem 22'!O19</f>
        <v>0</v>
      </c>
      <c r="X17" s="65">
        <f>'Sem 23'!O19</f>
        <v>0</v>
      </c>
      <c r="Y17" s="65">
        <f>'Sem 24'!O19</f>
        <v>0</v>
      </c>
      <c r="Z17" s="65">
        <f>'Sem 25'!O19</f>
        <v>0</v>
      </c>
      <c r="AA17" s="65">
        <f>'Sem 26'!O19</f>
        <v>0</v>
      </c>
      <c r="AB17" s="65">
        <f>'Sem 27'!O19</f>
        <v>0</v>
      </c>
      <c r="AC17" s="65">
        <f>'Sem 28'!O19</f>
        <v>0</v>
      </c>
      <c r="AD17" s="65">
        <f>'Sem 29'!O19</f>
        <v>0</v>
      </c>
      <c r="AE17" s="65">
        <f>'Sem 30'!O19</f>
        <v>0</v>
      </c>
      <c r="AF17" s="65">
        <f>'Sem 31'!O19</f>
        <v>0</v>
      </c>
      <c r="AG17">
        <f>'Sem 32'!O19</f>
        <v>0</v>
      </c>
      <c r="AH17">
        <f>'Sem 33'!O19</f>
        <v>0</v>
      </c>
      <c r="AI17">
        <f>'Sem 34'!O19</f>
        <v>290.70000000000005</v>
      </c>
      <c r="AJ17">
        <f>'Sem 35'!O19</f>
        <v>168.37</v>
      </c>
      <c r="AK17" s="65">
        <f>'Sem 36'!O19</f>
        <v>0</v>
      </c>
      <c r="AL17" s="65">
        <f>'Sem 37'!O19</f>
        <v>0</v>
      </c>
      <c r="AM17" s="65">
        <f>'Sem 38'!O19</f>
        <v>0</v>
      </c>
      <c r="AN17">
        <f>'Sem 39'!O19</f>
        <v>0</v>
      </c>
      <c r="AO17">
        <f>'Sem 40'!O19</f>
        <v>0</v>
      </c>
      <c r="AP17">
        <f>'Sem 41'!O19</f>
        <v>96.26</v>
      </c>
      <c r="AQ17">
        <f>'Sem 42'!O19</f>
        <v>0</v>
      </c>
      <c r="AR17">
        <f>'Sem 43'!O19</f>
        <v>0</v>
      </c>
      <c r="AS17">
        <f>'Sem 44'!O19</f>
        <v>326.10000000000002</v>
      </c>
      <c r="AT17">
        <f>'Sem 45'!O19</f>
        <v>0</v>
      </c>
      <c r="AU17">
        <f>'Sem 46'!O19</f>
        <v>0</v>
      </c>
      <c r="AV17">
        <f>'Sem 47'!O19</f>
        <v>53.3</v>
      </c>
      <c r="AW17">
        <f>'Sem 48'!O19</f>
        <v>157.65</v>
      </c>
      <c r="AX17">
        <f>'Sem 49'!O19</f>
        <v>215.55</v>
      </c>
      <c r="AY17">
        <f>'Sem 50'!O19</f>
        <v>214.4</v>
      </c>
      <c r="AZ17">
        <f>'Sem 51'!O19</f>
        <v>0</v>
      </c>
      <c r="BA17">
        <f>'Sem 52'!O19</f>
        <v>0</v>
      </c>
      <c r="BB17" s="65">
        <f t="shared" si="0"/>
        <v>4650.6900000000005</v>
      </c>
      <c r="BC17" t="s">
        <v>227</v>
      </c>
    </row>
    <row r="18" spans="1:55" x14ac:dyDescent="0.25">
      <c r="A18">
        <f>'Sem01'!A20</f>
        <v>0</v>
      </c>
      <c r="B18" s="22">
        <f>'Sem01'!O20</f>
        <v>0</v>
      </c>
      <c r="C18" s="65">
        <f>'Sem 02'!O20</f>
        <v>0</v>
      </c>
      <c r="D18" s="65">
        <f>'Sem 03'!O20</f>
        <v>0</v>
      </c>
      <c r="E18" s="65">
        <f>'Sem 04'!O20</f>
        <v>0</v>
      </c>
      <c r="F18" s="65">
        <f>'Sem 05'!O20</f>
        <v>0</v>
      </c>
      <c r="G18" s="65">
        <f>'Sem 06'!O20</f>
        <v>0</v>
      </c>
      <c r="H18" s="65">
        <f>'Sem 07'!O20</f>
        <v>0</v>
      </c>
      <c r="I18" s="65">
        <f>'Sem 08'!O20</f>
        <v>0</v>
      </c>
      <c r="J18" s="65">
        <f>'Sem 09'!O20</f>
        <v>0</v>
      </c>
      <c r="K18" s="65">
        <f>'Sem 10'!O20</f>
        <v>0</v>
      </c>
      <c r="L18" s="65">
        <f>'Sem 11'!O20</f>
        <v>0</v>
      </c>
      <c r="M18" s="65">
        <f>'Sem 12'!O20</f>
        <v>0</v>
      </c>
      <c r="N18" s="65">
        <f>'Sem 13'!O20</f>
        <v>0</v>
      </c>
      <c r="O18" s="65">
        <f>'Sem 14'!O20</f>
        <v>0</v>
      </c>
      <c r="P18" s="65">
        <f>'Sem 15'!O20</f>
        <v>0</v>
      </c>
      <c r="Q18" s="65">
        <f>'Sem 16'!O20</f>
        <v>0</v>
      </c>
      <c r="R18" s="12">
        <f>'Sem 17'!O20</f>
        <v>2815.2</v>
      </c>
      <c r="S18" s="65">
        <f>'Sem 18'!O20</f>
        <v>189.5</v>
      </c>
      <c r="T18" s="65">
        <f>'Sem 19'!O20</f>
        <v>130</v>
      </c>
      <c r="U18" s="65">
        <f>'Sem 20'!O20</f>
        <v>0</v>
      </c>
      <c r="V18" s="65">
        <f>'Sem 21'!O20</f>
        <v>110</v>
      </c>
      <c r="W18" s="65">
        <f>'Sem 22'!O20</f>
        <v>0</v>
      </c>
      <c r="X18" s="65">
        <f>'Sem 23'!O20</f>
        <v>0</v>
      </c>
      <c r="Y18" s="65">
        <f>'Sem 24'!O20</f>
        <v>0</v>
      </c>
      <c r="Z18" s="65">
        <f>'Sem 25'!O20</f>
        <v>0</v>
      </c>
      <c r="AA18" s="65">
        <f>'Sem 26'!O20</f>
        <v>0</v>
      </c>
      <c r="AB18" s="65">
        <f>'Sem 27'!O20</f>
        <v>0</v>
      </c>
      <c r="AC18" s="65">
        <f>'Sem 28'!O20</f>
        <v>0</v>
      </c>
      <c r="AD18" s="65">
        <f>'Sem 29'!O20</f>
        <v>0</v>
      </c>
      <c r="AE18" s="65">
        <f>'Sem 30'!O20</f>
        <v>0</v>
      </c>
      <c r="AF18" s="65">
        <f>'Sem 31'!O20</f>
        <v>0</v>
      </c>
      <c r="AG18">
        <f>'Sem 32'!O20</f>
        <v>0</v>
      </c>
      <c r="AH18">
        <f>'Sem 33'!O20</f>
        <v>0</v>
      </c>
      <c r="AI18">
        <f>'Sem 34'!O20</f>
        <v>0</v>
      </c>
      <c r="AJ18">
        <f>'Sem 35'!O20</f>
        <v>0</v>
      </c>
      <c r="AK18" s="65">
        <f>'Sem 36'!O20</f>
        <v>0</v>
      </c>
      <c r="AL18" s="65">
        <f>'Sem 37'!O20</f>
        <v>0</v>
      </c>
      <c r="AM18" s="65">
        <f>'Sem 38'!O20</f>
        <v>55.5</v>
      </c>
      <c r="AN18">
        <f>'Sem 39'!O20</f>
        <v>0</v>
      </c>
      <c r="AO18">
        <f>'Sem 40'!O20</f>
        <v>0</v>
      </c>
      <c r="AP18">
        <f>'Sem 41'!O20</f>
        <v>0</v>
      </c>
      <c r="AQ18">
        <f>'Sem 42'!O20</f>
        <v>0</v>
      </c>
      <c r="AR18">
        <f>'Sem 43'!O20</f>
        <v>0</v>
      </c>
      <c r="AS18">
        <f>'Sem 44'!O20</f>
        <v>39</v>
      </c>
      <c r="AT18">
        <f>'Sem 45'!O20</f>
        <v>0</v>
      </c>
      <c r="AU18">
        <f>'Sem 46'!O20</f>
        <v>0</v>
      </c>
      <c r="AV18">
        <f>'Sem 47'!O20</f>
        <v>0</v>
      </c>
      <c r="AW18">
        <f>'Sem 48'!O20</f>
        <v>0</v>
      </c>
      <c r="AX18">
        <f>'Sem 49'!O20</f>
        <v>0</v>
      </c>
      <c r="AY18">
        <f>'Sem 50'!O20</f>
        <v>0</v>
      </c>
      <c r="AZ18">
        <f>'Sem 51'!O20</f>
        <v>0</v>
      </c>
      <c r="BA18">
        <f>'Sem 52'!O20</f>
        <v>0</v>
      </c>
      <c r="BB18" s="65">
        <f t="shared" si="0"/>
        <v>3339.2</v>
      </c>
      <c r="BC18">
        <f t="shared" si="1"/>
        <v>0</v>
      </c>
    </row>
    <row r="19" spans="1:55" x14ac:dyDescent="0.25">
      <c r="B19" s="22">
        <f>'Sem01'!O21</f>
        <v>0</v>
      </c>
      <c r="C19" s="65">
        <f>'Sem 02'!O21</f>
        <v>0</v>
      </c>
      <c r="D19" s="65">
        <f>'Sem 03'!O21</f>
        <v>0</v>
      </c>
      <c r="E19" s="65">
        <f>'Sem 04'!O21</f>
        <v>0</v>
      </c>
      <c r="F19" s="65">
        <f>'Sem 05'!O21</f>
        <v>0</v>
      </c>
      <c r="G19" s="65">
        <f>'Sem 06'!O21</f>
        <v>0</v>
      </c>
      <c r="H19" s="65">
        <f>'Sem 07'!O21</f>
        <v>0</v>
      </c>
      <c r="I19" s="65">
        <f>'Sem 08'!O21</f>
        <v>0</v>
      </c>
      <c r="J19" s="65">
        <f>'Sem 09'!O21</f>
        <v>0</v>
      </c>
      <c r="K19" s="65">
        <f>'Sem 10'!O21</f>
        <v>0</v>
      </c>
      <c r="L19" s="65">
        <f>'Sem 11'!O21</f>
        <v>0</v>
      </c>
      <c r="M19" s="65">
        <f>'Sem 12'!O21</f>
        <v>0</v>
      </c>
      <c r="N19" s="65">
        <f>'Sem 13'!O21</f>
        <v>0</v>
      </c>
      <c r="O19" s="65">
        <f>'Sem 14'!O21</f>
        <v>0</v>
      </c>
      <c r="P19" s="65">
        <f>'Sem 15'!O21</f>
        <v>0</v>
      </c>
      <c r="Q19" s="65">
        <f>'Sem 16'!O21</f>
        <v>0</v>
      </c>
      <c r="R19" s="12">
        <f>'Sem 17'!O21</f>
        <v>637</v>
      </c>
      <c r="S19" s="65">
        <f>'Sem 18'!O21</f>
        <v>0</v>
      </c>
      <c r="T19" s="65">
        <f>'Sem 19'!O21</f>
        <v>459</v>
      </c>
      <c r="U19" s="65">
        <f>'Sem 20'!O21</f>
        <v>0</v>
      </c>
      <c r="V19" s="65">
        <f>'Sem 21'!O21</f>
        <v>0</v>
      </c>
      <c r="W19" s="65">
        <f>'Sem 22'!O21</f>
        <v>0</v>
      </c>
      <c r="X19" s="65">
        <f>'Sem 23'!O21</f>
        <v>0</v>
      </c>
      <c r="Y19" s="65">
        <f>'Sem 24'!O21</f>
        <v>0</v>
      </c>
      <c r="Z19" s="65">
        <f>'Sem 25'!O21</f>
        <v>0</v>
      </c>
      <c r="AA19" s="65">
        <f>'Sem 26'!O21</f>
        <v>0</v>
      </c>
      <c r="AB19" s="65">
        <f>'Sem 27'!O21</f>
        <v>0</v>
      </c>
      <c r="AC19" s="65">
        <f>'Sem 28'!O21</f>
        <v>0</v>
      </c>
      <c r="AD19" s="65">
        <f>'Sem 29'!O21</f>
        <v>0</v>
      </c>
      <c r="AE19" s="65">
        <f>'Sem 30'!O21</f>
        <v>0</v>
      </c>
      <c r="AF19" s="65">
        <f>'Sem 31'!O21</f>
        <v>0</v>
      </c>
      <c r="AG19">
        <f>'Sem 32'!O21</f>
        <v>0</v>
      </c>
      <c r="AH19">
        <f>'Sem 33'!O21</f>
        <v>0</v>
      </c>
      <c r="AI19">
        <f>'Sem 34'!O21</f>
        <v>0</v>
      </c>
      <c r="AJ19">
        <f>'Sem 35'!O21</f>
        <v>0</v>
      </c>
      <c r="AK19" s="65">
        <f>'Sem 36'!O21</f>
        <v>0</v>
      </c>
      <c r="AL19" s="65">
        <f>'Sem 37'!O21</f>
        <v>0</v>
      </c>
      <c r="AM19" s="65">
        <f>'Sem 38'!O21</f>
        <v>0</v>
      </c>
      <c r="AN19">
        <f>'Sem 39'!O21</f>
        <v>0</v>
      </c>
      <c r="AO19">
        <f>'Sem 40'!O21</f>
        <v>0</v>
      </c>
      <c r="AP19">
        <f>'Sem 41'!O21</f>
        <v>0</v>
      </c>
      <c r="AQ19">
        <f>'Sem 42'!O21</f>
        <v>0</v>
      </c>
      <c r="AR19">
        <f>'Sem 43'!O21</f>
        <v>0</v>
      </c>
      <c r="AS19">
        <f>'Sem 44'!O21</f>
        <v>0</v>
      </c>
      <c r="AT19">
        <f>'Sem 45'!O21</f>
        <v>0</v>
      </c>
      <c r="AU19">
        <f>'Sem 46'!O21</f>
        <v>0</v>
      </c>
      <c r="AV19">
        <f>'Sem 47'!O21</f>
        <v>0</v>
      </c>
      <c r="AW19">
        <f>'Sem 48'!O21</f>
        <v>0</v>
      </c>
      <c r="AX19">
        <f>'Sem 49'!O21</f>
        <v>0</v>
      </c>
      <c r="AY19">
        <f>'Sem 50'!O21</f>
        <v>0</v>
      </c>
      <c r="AZ19">
        <f>'Sem 51'!O21</f>
        <v>0</v>
      </c>
      <c r="BA19">
        <f>'Sem 52'!O21</f>
        <v>0</v>
      </c>
      <c r="BB19" s="65">
        <f t="shared" si="0"/>
        <v>1096</v>
      </c>
      <c r="BC19">
        <f t="shared" si="1"/>
        <v>0</v>
      </c>
    </row>
    <row r="20" spans="1:55" x14ac:dyDescent="0.25">
      <c r="A20">
        <f>'Sem01'!A22</f>
        <v>0</v>
      </c>
      <c r="B20" s="22">
        <f>'Sem01'!O22</f>
        <v>0</v>
      </c>
      <c r="C20" s="65">
        <f>'Sem 02'!O22</f>
        <v>0</v>
      </c>
      <c r="D20" s="65">
        <f>'Sem 03'!O22</f>
        <v>0</v>
      </c>
      <c r="E20" s="65">
        <f>'Sem 04'!O22</f>
        <v>0</v>
      </c>
      <c r="F20" s="65">
        <f>'Sem 05'!O22</f>
        <v>0</v>
      </c>
      <c r="G20" s="65">
        <f>'Sem 06'!O22</f>
        <v>0</v>
      </c>
      <c r="H20" s="65">
        <f>'Sem 07'!O22</f>
        <v>0</v>
      </c>
      <c r="I20" s="65">
        <f>'Sem 08'!O22</f>
        <v>0</v>
      </c>
      <c r="J20" s="65">
        <f>'Sem 09'!O22</f>
        <v>0</v>
      </c>
      <c r="K20" s="65">
        <f>'Sem 10'!O22</f>
        <v>0</v>
      </c>
      <c r="L20" s="65">
        <f>'Sem 11'!O22</f>
        <v>0</v>
      </c>
      <c r="M20" s="65">
        <f>'Sem 12'!O22</f>
        <v>0</v>
      </c>
      <c r="N20" s="65">
        <f>'Sem 13'!O22</f>
        <v>0</v>
      </c>
      <c r="O20" s="65">
        <f>'Sem 14'!O22</f>
        <v>0</v>
      </c>
      <c r="P20" s="65">
        <f>'Sem 15'!O22</f>
        <v>0</v>
      </c>
      <c r="Q20" s="65">
        <f>'Sem 16'!O22</f>
        <v>0</v>
      </c>
      <c r="R20" s="12">
        <f>'Sem 17'!O22</f>
        <v>1019.5</v>
      </c>
      <c r="S20" s="65">
        <f>'Sem 18'!O22</f>
        <v>0</v>
      </c>
      <c r="T20" s="65">
        <f>'Sem 19'!O22</f>
        <v>594</v>
      </c>
      <c r="U20" s="65">
        <f>'Sem 20'!O22</f>
        <v>0</v>
      </c>
      <c r="V20" s="65">
        <f>'Sem 21'!O22</f>
        <v>0</v>
      </c>
      <c r="W20" s="65">
        <f>'Sem 22'!O22</f>
        <v>0</v>
      </c>
      <c r="X20" s="65">
        <f>'Sem 23'!O22</f>
        <v>0</v>
      </c>
      <c r="Y20" s="65">
        <f>'Sem 24'!O22</f>
        <v>0</v>
      </c>
      <c r="Z20" s="65">
        <f>'Sem 25'!O22</f>
        <v>0</v>
      </c>
      <c r="AA20" s="65">
        <f>'Sem 26'!O22</f>
        <v>0</v>
      </c>
      <c r="AB20" s="65">
        <f>'Sem 27'!O22</f>
        <v>0</v>
      </c>
      <c r="AC20" s="65">
        <f>'Sem 28'!O22</f>
        <v>0</v>
      </c>
      <c r="AD20" s="65">
        <f>'Sem 29'!O22</f>
        <v>0</v>
      </c>
      <c r="AE20" s="65">
        <f>'Sem 30'!O22</f>
        <v>0</v>
      </c>
      <c r="AF20" s="65">
        <f>'Sem 31'!O22</f>
        <v>0</v>
      </c>
      <c r="AG20">
        <f>'Sem 32'!O22</f>
        <v>0</v>
      </c>
      <c r="AH20">
        <f>'Sem 33'!O22</f>
        <v>0</v>
      </c>
      <c r="AI20">
        <f>'Sem 34'!O22</f>
        <v>0</v>
      </c>
      <c r="AJ20">
        <f>'Sem 35'!O22</f>
        <v>0</v>
      </c>
      <c r="AK20" s="65">
        <f>'Sem 36'!O22</f>
        <v>0</v>
      </c>
      <c r="AL20" s="65">
        <f>'Sem 37'!O22</f>
        <v>0</v>
      </c>
      <c r="AM20" s="65">
        <f>'Sem 38'!O22</f>
        <v>0</v>
      </c>
      <c r="AN20">
        <f>'Sem 39'!O22</f>
        <v>0</v>
      </c>
      <c r="AO20">
        <f>'Sem 40'!O22</f>
        <v>0</v>
      </c>
      <c r="AP20">
        <f>'Sem 41'!O22</f>
        <v>0</v>
      </c>
      <c r="AQ20">
        <f>'Sem 42'!O22</f>
        <v>0</v>
      </c>
      <c r="AR20">
        <f>'Sem 43'!O22</f>
        <v>0</v>
      </c>
      <c r="AS20">
        <f>'Sem 44'!O22</f>
        <v>0</v>
      </c>
      <c r="AT20">
        <f>'Sem 45'!O22</f>
        <v>0</v>
      </c>
      <c r="AU20">
        <f>'Sem 46'!O22</f>
        <v>0</v>
      </c>
      <c r="AV20">
        <f>'Sem 47'!O22</f>
        <v>0</v>
      </c>
      <c r="AW20">
        <f>'Sem 48'!O22</f>
        <v>0</v>
      </c>
      <c r="AX20">
        <f>'Sem 49'!O22</f>
        <v>0</v>
      </c>
      <c r="AY20">
        <f>'Sem 50'!O22</f>
        <v>0</v>
      </c>
      <c r="AZ20">
        <f>'Sem 51'!O22</f>
        <v>0</v>
      </c>
      <c r="BA20">
        <f>'Sem 52'!O22</f>
        <v>0</v>
      </c>
      <c r="BB20" s="65">
        <f t="shared" si="0"/>
        <v>1613.5</v>
      </c>
      <c r="BC20">
        <f t="shared" si="1"/>
        <v>0</v>
      </c>
    </row>
    <row r="21" spans="1:55" x14ac:dyDescent="0.25">
      <c r="A21" t="str">
        <f>'Sem01'!A23</f>
        <v>(.)</v>
      </c>
      <c r="B21" s="22">
        <f>'Sem01'!O23</f>
        <v>158.5</v>
      </c>
      <c r="C21" s="65">
        <f>'Sem 02'!O23</f>
        <v>134</v>
      </c>
      <c r="D21" s="65">
        <f>'Sem 03'!O23</f>
        <v>275.34000000000003</v>
      </c>
      <c r="E21" s="65">
        <f>'Sem 04'!O23</f>
        <v>261.39999999999998</v>
      </c>
      <c r="F21" s="65">
        <f>'Sem 05'!O23</f>
        <v>191.7</v>
      </c>
      <c r="G21" s="65">
        <f>'Sem 06'!O23</f>
        <v>373.75</v>
      </c>
      <c r="H21" s="65">
        <f>'Sem 07'!O23</f>
        <v>338.3</v>
      </c>
      <c r="I21" s="65">
        <f>'Sem 08'!O23</f>
        <v>60</v>
      </c>
      <c r="J21" s="65">
        <f>'Sem 09'!O23</f>
        <v>76.5</v>
      </c>
      <c r="K21" s="65">
        <f>'Sem 10'!O23</f>
        <v>900.65</v>
      </c>
      <c r="L21" s="65">
        <f>'Sem 11'!O23</f>
        <v>257.2</v>
      </c>
      <c r="M21" s="65">
        <f>'Sem 12'!O23</f>
        <v>118.7</v>
      </c>
      <c r="N21" s="65">
        <f>'Sem 13'!O23</f>
        <v>469.79999999999995</v>
      </c>
      <c r="O21" s="65">
        <f>'Sem 14'!O23</f>
        <v>157.5</v>
      </c>
      <c r="P21" s="65">
        <f>'Sem 15'!O23</f>
        <v>98</v>
      </c>
      <c r="Q21" s="65">
        <f>'Sem 16'!O23</f>
        <v>186.5</v>
      </c>
      <c r="R21" s="12">
        <f>'Sem 17'!O23</f>
        <v>412</v>
      </c>
      <c r="S21" s="65">
        <f>'Sem 18'!O23</f>
        <v>0</v>
      </c>
      <c r="T21" s="65">
        <f>'Sem 19'!O23</f>
        <v>186.5</v>
      </c>
      <c r="U21" s="65">
        <f>'Sem 20'!O23</f>
        <v>0</v>
      </c>
      <c r="V21" s="65">
        <f>'Sem 21'!O23</f>
        <v>374.15</v>
      </c>
      <c r="W21" s="65">
        <f>'Sem 22'!O23</f>
        <v>85</v>
      </c>
      <c r="X21" s="65">
        <f>'Sem 23'!O23</f>
        <v>160.80000000000001</v>
      </c>
      <c r="Y21" s="65">
        <f>'Sem 24'!O23</f>
        <v>258.25</v>
      </c>
      <c r="Z21" s="65">
        <f>'Sem 25'!O23</f>
        <v>687</v>
      </c>
      <c r="AA21" s="65">
        <f>'Sem 26'!O23</f>
        <v>317.89999999999998</v>
      </c>
      <c r="AB21" s="65">
        <f>'Sem 27'!O23</f>
        <v>391.5</v>
      </c>
      <c r="AC21" s="65">
        <f>'Sem 28'!O23</f>
        <v>504.9</v>
      </c>
      <c r="AD21" s="65">
        <f>'Sem 29'!O23</f>
        <v>290</v>
      </c>
      <c r="AE21" s="65">
        <f>'Sem 30'!O23</f>
        <v>0</v>
      </c>
      <c r="AF21" s="65">
        <f>'Sem 31'!O23</f>
        <v>160</v>
      </c>
      <c r="AG21">
        <f>'Sem 32'!O23</f>
        <v>154.4</v>
      </c>
      <c r="AH21">
        <f>'Sem 33'!O23</f>
        <v>201.5</v>
      </c>
      <c r="AI21">
        <f>'Sem 34'!O23</f>
        <v>546.1</v>
      </c>
      <c r="AJ21">
        <f>'Sem 35'!O23</f>
        <v>315</v>
      </c>
      <c r="AK21" s="65">
        <f>'Sem 36'!O23</f>
        <v>50</v>
      </c>
      <c r="AL21" s="65">
        <f>'Sem 37'!O23</f>
        <v>0</v>
      </c>
      <c r="AM21" s="65">
        <f>'Sem 38'!O23</f>
        <v>223.6</v>
      </c>
      <c r="AN21">
        <f>'Sem 39'!O23</f>
        <v>295</v>
      </c>
      <c r="AO21">
        <f>'Sem 40'!O23</f>
        <v>180.1</v>
      </c>
      <c r="AP21">
        <f>'Sem 41'!O23</f>
        <v>218.5</v>
      </c>
      <c r="AQ21">
        <f>'Sem 42'!O23</f>
        <v>174.6</v>
      </c>
      <c r="AR21">
        <f>'Sem 43'!O23</f>
        <v>331.6</v>
      </c>
      <c r="AS21">
        <f>'Sem 44'!O23</f>
        <v>409.7</v>
      </c>
      <c r="AT21">
        <f>'Sem 45'!O23</f>
        <v>248</v>
      </c>
      <c r="AU21">
        <f>'Sem 46'!O23</f>
        <v>56</v>
      </c>
      <c r="AV21">
        <f>'Sem 47'!O23</f>
        <v>214.8</v>
      </c>
      <c r="AW21">
        <f>'Sem 48'!O23</f>
        <v>461</v>
      </c>
      <c r="AX21">
        <f>'Sem 49'!O23</f>
        <v>277.89999999999998</v>
      </c>
      <c r="AY21">
        <f>'Sem 50'!O23</f>
        <v>0</v>
      </c>
      <c r="AZ21">
        <f>'Sem 51'!O23</f>
        <v>315</v>
      </c>
      <c r="BA21">
        <f>'Sem 52'!O23</f>
        <v>0</v>
      </c>
      <c r="BB21" s="65">
        <f t="shared" si="0"/>
        <v>12558.64</v>
      </c>
      <c r="BC21" t="str">
        <f t="shared" si="1"/>
        <v>(.)</v>
      </c>
    </row>
    <row r="22" spans="1:55" x14ac:dyDescent="0.25"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12">
        <f>'Sem 17'!O24</f>
        <v>2382.1</v>
      </c>
      <c r="S22" s="65"/>
      <c r="T22" s="113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K22" s="65"/>
      <c r="AL22" s="65"/>
      <c r="AM22" s="65"/>
      <c r="BB22" s="65">
        <f t="shared" si="0"/>
        <v>2382.1</v>
      </c>
      <c r="BC22">
        <f t="shared" si="1"/>
        <v>0</v>
      </c>
    </row>
    <row r="23" spans="1:55" x14ac:dyDescent="0.25"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12">
        <f>'Sem 17'!O25</f>
        <v>9355.32</v>
      </c>
      <c r="S23" s="65"/>
      <c r="T23" s="113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K23" s="65"/>
      <c r="AL23" s="65"/>
      <c r="AM23" s="65"/>
      <c r="BB23" s="65">
        <f t="shared" si="0"/>
        <v>9355.32</v>
      </c>
      <c r="BC23">
        <f t="shared" si="1"/>
        <v>0</v>
      </c>
    </row>
    <row r="24" spans="1:55" x14ac:dyDescent="0.25">
      <c r="F24" s="65">
        <f>'Sem 05'!O26</f>
        <v>0</v>
      </c>
      <c r="G24" s="65">
        <f>'Sem 06'!O26</f>
        <v>0</v>
      </c>
      <c r="H24" s="65">
        <f>'Sem 07'!O26</f>
        <v>0</v>
      </c>
      <c r="I24" s="65">
        <f>'Sem 08'!O26</f>
        <v>0</v>
      </c>
      <c r="J24" s="65">
        <f>'Sem 09'!O26</f>
        <v>0</v>
      </c>
      <c r="K24" s="65">
        <f>'Sem 10'!O26</f>
        <v>0</v>
      </c>
      <c r="L24" s="65">
        <f>'Sem 11'!O26</f>
        <v>0</v>
      </c>
      <c r="M24" s="65">
        <f>'Sem 12'!O26</f>
        <v>0</v>
      </c>
      <c r="N24" s="65">
        <f>'Sem 13'!O26</f>
        <v>0</v>
      </c>
      <c r="O24" s="65">
        <f>'Sem 14'!O26</f>
        <v>0</v>
      </c>
      <c r="P24" s="65">
        <f>'Sem 15'!O26</f>
        <v>0</v>
      </c>
      <c r="Q24" s="65">
        <f>'Sem 16'!O26</f>
        <v>0</v>
      </c>
      <c r="R24" s="12">
        <f>'Sem 17'!O26</f>
        <v>330.5</v>
      </c>
      <c r="S24" s="65">
        <f>'Sem 18'!O26</f>
        <v>0</v>
      </c>
      <c r="T24" s="65">
        <f>'Sem 19'!O26</f>
        <v>0</v>
      </c>
      <c r="U24" s="65">
        <f>'Sem 20'!O26</f>
        <v>0</v>
      </c>
      <c r="V24" s="65">
        <f>'Sem 21'!O26</f>
        <v>0</v>
      </c>
      <c r="W24" s="65">
        <f>'Sem 22'!O26</f>
        <v>0</v>
      </c>
      <c r="X24" s="65">
        <f>'Sem 23'!O26</f>
        <v>0</v>
      </c>
      <c r="Y24" s="65">
        <f>'Sem 24'!O26</f>
        <v>0</v>
      </c>
      <c r="Z24" s="65">
        <f>'Sem 25'!O26</f>
        <v>0</v>
      </c>
      <c r="AA24" s="65">
        <f>'Sem 26'!O26</f>
        <v>0</v>
      </c>
      <c r="AB24" s="65">
        <f>'Sem 27'!O26</f>
        <v>0</v>
      </c>
      <c r="AC24" s="65">
        <f>'Sem 28'!O26</f>
        <v>0</v>
      </c>
      <c r="AD24" s="65">
        <f>'Sem 29'!O26</f>
        <v>0</v>
      </c>
      <c r="AE24" s="65">
        <f>'Sem 30'!O26</f>
        <v>0</v>
      </c>
      <c r="AF24" s="65">
        <f>'Sem 31'!O26</f>
        <v>0</v>
      </c>
      <c r="AG24">
        <f>'Sem 32'!O26</f>
        <v>0</v>
      </c>
      <c r="AH24">
        <f>'Sem 33'!O26</f>
        <v>0</v>
      </c>
      <c r="AI24">
        <f>'Sem 34'!O26</f>
        <v>0</v>
      </c>
      <c r="AJ24">
        <f>'Sem 35'!O26</f>
        <v>0</v>
      </c>
      <c r="AK24" s="65">
        <f>'Sem 36'!O26</f>
        <v>0</v>
      </c>
      <c r="AL24" s="65">
        <f>'Sem 37'!O26</f>
        <v>0</v>
      </c>
      <c r="AM24" s="65">
        <f>'Sem 38'!O26</f>
        <v>0</v>
      </c>
      <c r="AN24">
        <f>'Sem 39'!O26</f>
        <v>0</v>
      </c>
      <c r="AO24">
        <f>'Sem 40'!O26</f>
        <v>0</v>
      </c>
      <c r="AP24">
        <f>'Sem 41'!O26</f>
        <v>0</v>
      </c>
      <c r="AQ24">
        <f>'Sem 42'!O26</f>
        <v>0</v>
      </c>
      <c r="AR24">
        <f>'Sem 43'!O26</f>
        <v>0</v>
      </c>
      <c r="AS24">
        <f>'Sem 44'!O26</f>
        <v>0</v>
      </c>
      <c r="AT24">
        <f>'Sem 45'!O26</f>
        <v>0</v>
      </c>
      <c r="AU24">
        <f>'Sem 46'!O26</f>
        <v>0</v>
      </c>
      <c r="AV24">
        <f>'Sem 47'!O26</f>
        <v>0</v>
      </c>
      <c r="AW24">
        <f>'Sem 48'!O26</f>
        <v>0</v>
      </c>
      <c r="AX24">
        <f>'Sem 49'!O26</f>
        <v>0</v>
      </c>
      <c r="AY24">
        <f>'Sem 50'!O26</f>
        <v>0</v>
      </c>
      <c r="AZ24">
        <f>'Sem 51'!O26</f>
        <v>0</v>
      </c>
      <c r="BA24">
        <f>'Sem 52'!O26</f>
        <v>0</v>
      </c>
      <c r="BB24" s="65">
        <f t="shared" si="0"/>
        <v>330.5</v>
      </c>
      <c r="BC24">
        <f t="shared" si="1"/>
        <v>0</v>
      </c>
    </row>
    <row r="25" spans="1:55" x14ac:dyDescent="0.25">
      <c r="F25" s="65">
        <f>'Sem 05'!O27</f>
        <v>0</v>
      </c>
      <c r="G25" s="65">
        <f>'Sem 06'!O27</f>
        <v>0</v>
      </c>
      <c r="H25" s="65">
        <f>'Sem 07'!O27</f>
        <v>0</v>
      </c>
      <c r="I25" s="65">
        <f>'Sem 08'!O27</f>
        <v>0</v>
      </c>
      <c r="J25" s="65">
        <f>'Sem 09'!O27</f>
        <v>0</v>
      </c>
      <c r="L25" s="65">
        <f>'Sem 11'!O27</f>
        <v>0</v>
      </c>
      <c r="M25" s="65">
        <f>'Sem 12'!O27</f>
        <v>0</v>
      </c>
      <c r="N25" s="65">
        <f>'Sem 13'!O27</f>
        <v>0</v>
      </c>
      <c r="O25" s="65">
        <f>'Sem 14'!O27</f>
        <v>0</v>
      </c>
      <c r="P25" s="65">
        <f>'Sem 15'!O27</f>
        <v>0</v>
      </c>
      <c r="Q25" s="65">
        <f>'Sem 16'!O27</f>
        <v>0</v>
      </c>
      <c r="R25" s="12">
        <f>'Sem 17'!O27</f>
        <v>775.25</v>
      </c>
      <c r="S25" s="65">
        <f>'Sem 18'!O27</f>
        <v>0</v>
      </c>
      <c r="T25" s="65">
        <f>'Sem 19'!O27</f>
        <v>0</v>
      </c>
      <c r="U25" s="65">
        <f>'Sem 20'!O27</f>
        <v>0</v>
      </c>
      <c r="V25" s="65">
        <f>'Sem 21'!O27</f>
        <v>0</v>
      </c>
      <c r="W25" s="65">
        <f>'Sem 22'!O27</f>
        <v>0</v>
      </c>
      <c r="X25" s="65">
        <f>'Sem 23'!O27</f>
        <v>0</v>
      </c>
      <c r="Y25" s="65">
        <f>'Sem 24'!O27</f>
        <v>0</v>
      </c>
      <c r="Z25" s="65">
        <f>'Sem 25'!O27</f>
        <v>0</v>
      </c>
      <c r="AA25" s="65">
        <f>'Sem 26'!O27</f>
        <v>0</v>
      </c>
      <c r="AB25" s="65">
        <f>'Sem 27'!O27</f>
        <v>0</v>
      </c>
      <c r="AC25" s="65">
        <f>'Sem 28'!O27</f>
        <v>0</v>
      </c>
      <c r="AD25" s="65">
        <f>'Sem 29'!O27</f>
        <v>0</v>
      </c>
      <c r="AE25" s="65">
        <f>'Sem 30'!O27</f>
        <v>0</v>
      </c>
      <c r="AF25" s="65">
        <f>'Sem 31'!O27</f>
        <v>0</v>
      </c>
      <c r="AG25">
        <f>'Sem 32'!O27</f>
        <v>0</v>
      </c>
      <c r="AH25">
        <f>'Sem 33'!O27</f>
        <v>0</v>
      </c>
      <c r="AI25">
        <f>'Sem 34'!O27</f>
        <v>0</v>
      </c>
      <c r="AJ25">
        <f>'Sem 35'!O27</f>
        <v>0</v>
      </c>
      <c r="AK25" s="65">
        <f>'Sem 36'!O27</f>
        <v>0</v>
      </c>
      <c r="AL25" s="65">
        <f>'Sem 37'!O27</f>
        <v>0</v>
      </c>
      <c r="AM25" s="65">
        <f>'Sem 38'!O27</f>
        <v>0</v>
      </c>
      <c r="AN25">
        <f>'Sem 39'!O27</f>
        <v>0</v>
      </c>
      <c r="AO25">
        <f>'Sem 40'!O27</f>
        <v>0</v>
      </c>
      <c r="AP25">
        <f>'Sem 41'!O27</f>
        <v>0</v>
      </c>
      <c r="AQ25">
        <f>'Sem 42'!O27</f>
        <v>0</v>
      </c>
      <c r="AR25">
        <f>'Sem 43'!O27</f>
        <v>0</v>
      </c>
      <c r="AS25">
        <f>'Sem 44'!O27</f>
        <v>0</v>
      </c>
      <c r="AT25">
        <f>'Sem 45'!O27</f>
        <v>0</v>
      </c>
      <c r="AU25">
        <f>'Sem 46'!O27</f>
        <v>0</v>
      </c>
      <c r="AV25">
        <f>'Sem 47'!O27</f>
        <v>0</v>
      </c>
      <c r="AW25">
        <f>'Sem 48'!O27</f>
        <v>0</v>
      </c>
      <c r="AX25">
        <f>'Sem 49'!O27</f>
        <v>0</v>
      </c>
      <c r="AY25">
        <f>'Sem 50'!O27</f>
        <v>0</v>
      </c>
      <c r="AZ25">
        <f>'Sem 51'!O27</f>
        <v>0</v>
      </c>
      <c r="BA25">
        <f>'Sem 52'!O27</f>
        <v>0</v>
      </c>
      <c r="BB25" s="65">
        <f t="shared" si="0"/>
        <v>775.25</v>
      </c>
      <c r="BC25">
        <f t="shared" si="1"/>
        <v>0</v>
      </c>
    </row>
    <row r="26" spans="1:55" x14ac:dyDescent="0.25">
      <c r="F26" s="65"/>
      <c r="G26" s="65"/>
      <c r="H26" s="65"/>
      <c r="I26" s="65"/>
      <c r="J26" s="65"/>
      <c r="L26" s="65"/>
      <c r="M26" s="65"/>
      <c r="N26" s="65"/>
      <c r="O26" s="65"/>
      <c r="P26" s="65"/>
      <c r="Q26" s="65"/>
      <c r="R26" s="12">
        <f>'Sem 17'!O28</f>
        <v>451.5</v>
      </c>
      <c r="S26" s="65"/>
      <c r="T26" s="65">
        <f>'Sem 19'!O28</f>
        <v>0</v>
      </c>
      <c r="U26" s="65">
        <f>'Sem 20'!O28</f>
        <v>0</v>
      </c>
      <c r="V26" s="65">
        <f>'Sem 21'!O28</f>
        <v>0</v>
      </c>
      <c r="W26" s="65">
        <f>'Sem 22'!O28</f>
        <v>0</v>
      </c>
      <c r="X26" s="65">
        <f>'Sem 23'!O28</f>
        <v>0</v>
      </c>
      <c r="Y26" s="65">
        <f>'Sem 24'!O28</f>
        <v>0</v>
      </c>
      <c r="Z26" s="65">
        <f>'Sem 25'!O28</f>
        <v>0</v>
      </c>
      <c r="AA26" s="65">
        <f>'Sem 26'!O28</f>
        <v>0</v>
      </c>
      <c r="AB26" s="65">
        <f>'Sem 27'!O28</f>
        <v>0</v>
      </c>
      <c r="AC26" s="65">
        <f>'Sem 28'!O28</f>
        <v>0</v>
      </c>
      <c r="AD26" s="65">
        <f>'Sem 29'!O28</f>
        <v>0</v>
      </c>
      <c r="AE26" s="65">
        <f>'Sem 30'!O28</f>
        <v>0</v>
      </c>
      <c r="AF26" s="65">
        <f>'Sem 31'!O28</f>
        <v>0</v>
      </c>
      <c r="AG26">
        <f>'Sem 32'!O28</f>
        <v>0</v>
      </c>
      <c r="AH26">
        <f>'Sem 33'!O28</f>
        <v>0</v>
      </c>
      <c r="AI26">
        <f>'Sem 34'!O28</f>
        <v>0</v>
      </c>
      <c r="AJ26">
        <f>'Sem 35'!O28</f>
        <v>0</v>
      </c>
      <c r="AK26" s="65">
        <f>'Sem 36'!O28</f>
        <v>0</v>
      </c>
      <c r="AL26" s="65">
        <f>'Sem 37'!O28</f>
        <v>0</v>
      </c>
      <c r="AM26" s="65">
        <f>'Sem 38'!O28</f>
        <v>0</v>
      </c>
      <c r="AN26">
        <f>'Sem 39'!O28</f>
        <v>0</v>
      </c>
      <c r="AO26">
        <f>'Sem 40'!O28</f>
        <v>0</v>
      </c>
      <c r="AP26">
        <f>'Sem 41'!O28</f>
        <v>0</v>
      </c>
      <c r="AQ26">
        <f>'Sem 42'!O28</f>
        <v>0</v>
      </c>
      <c r="AR26">
        <f>'Sem 43'!O28</f>
        <v>0</v>
      </c>
      <c r="AS26">
        <f>'Sem 44'!O28</f>
        <v>0</v>
      </c>
      <c r="AT26">
        <f>'Sem 45'!O28</f>
        <v>0</v>
      </c>
      <c r="AU26">
        <f>'Sem 46'!O28</f>
        <v>0</v>
      </c>
      <c r="AV26">
        <f>'Sem 47'!O28</f>
        <v>0</v>
      </c>
      <c r="AW26">
        <f>'Sem 48'!O28</f>
        <v>0</v>
      </c>
      <c r="AX26">
        <f>'Sem 49'!O28</f>
        <v>0</v>
      </c>
      <c r="AY26">
        <f>'Sem 50'!O28</f>
        <v>0</v>
      </c>
      <c r="AZ26">
        <f>'Sem 51'!O28</f>
        <v>0</v>
      </c>
      <c r="BA26">
        <f>'Sem 52'!O28</f>
        <v>0</v>
      </c>
      <c r="BB26" s="65">
        <f t="shared" si="0"/>
        <v>451.5</v>
      </c>
    </row>
    <row r="27" spans="1:55" x14ac:dyDescent="0.25">
      <c r="F27" s="65"/>
      <c r="G27" s="65"/>
      <c r="H27" s="65"/>
      <c r="I27" s="65"/>
      <c r="J27" s="65"/>
      <c r="L27" s="65"/>
      <c r="M27" s="65"/>
      <c r="N27" s="65"/>
      <c r="O27" s="65"/>
      <c r="P27" s="65"/>
      <c r="Q27" s="65"/>
      <c r="R27" s="12">
        <f>'Sem 17'!O29</f>
        <v>1097.5</v>
      </c>
      <c r="S27" s="65"/>
      <c r="T27" s="65">
        <f>'Sem 19'!O29</f>
        <v>0</v>
      </c>
      <c r="U27" s="65">
        <f>'Sem 20'!O29</f>
        <v>0</v>
      </c>
      <c r="V27" s="65">
        <f>'Sem 21'!O29</f>
        <v>0</v>
      </c>
      <c r="W27" s="65">
        <f>'Sem 22'!O29</f>
        <v>0</v>
      </c>
      <c r="X27" s="65">
        <f>'Sem 23'!O29</f>
        <v>0</v>
      </c>
      <c r="Y27" s="65">
        <f>'Sem 24'!O29</f>
        <v>0</v>
      </c>
      <c r="Z27" s="65">
        <f>'Sem 25'!O29</f>
        <v>0</v>
      </c>
      <c r="AA27" s="65">
        <f>'Sem 26'!O29</f>
        <v>0</v>
      </c>
      <c r="AB27" s="65">
        <f>'Sem 27'!O29</f>
        <v>0</v>
      </c>
      <c r="AC27" s="65">
        <f>'Sem 28'!O29</f>
        <v>0</v>
      </c>
      <c r="AD27" s="65">
        <f>'Sem 29'!O29</f>
        <v>0</v>
      </c>
      <c r="AE27" s="65">
        <f>'Sem 30'!O29</f>
        <v>0</v>
      </c>
      <c r="AF27" s="65">
        <f>'Sem 31'!O29</f>
        <v>0</v>
      </c>
      <c r="AG27">
        <f>'Sem 32'!O29</f>
        <v>0</v>
      </c>
      <c r="AH27">
        <f>'Sem 33'!O29</f>
        <v>0</v>
      </c>
      <c r="AI27">
        <f>'Sem 34'!O29</f>
        <v>0</v>
      </c>
      <c r="AJ27">
        <f>'Sem 35'!O29</f>
        <v>0</v>
      </c>
      <c r="AK27" s="65">
        <f>'Sem 36'!O29</f>
        <v>0</v>
      </c>
      <c r="AL27" s="65">
        <f>'Sem 37'!O29</f>
        <v>0</v>
      </c>
      <c r="AM27" s="65">
        <f>'Sem 38'!O29</f>
        <v>0</v>
      </c>
      <c r="AN27">
        <f>'Sem 39'!O29</f>
        <v>0</v>
      </c>
      <c r="AO27">
        <f>'Sem 40'!O29</f>
        <v>0</v>
      </c>
      <c r="AP27">
        <f>'Sem 41'!O29</f>
        <v>0</v>
      </c>
      <c r="AQ27">
        <f>'Sem 42'!O29</f>
        <v>0</v>
      </c>
      <c r="AR27">
        <f>'Sem 43'!O29</f>
        <v>0</v>
      </c>
      <c r="AS27">
        <f>'Sem 44'!O29</f>
        <v>0</v>
      </c>
      <c r="AT27">
        <f>'Sem 45'!O29</f>
        <v>0</v>
      </c>
      <c r="AU27">
        <f>'Sem 46'!O29</f>
        <v>0</v>
      </c>
      <c r="AV27">
        <f>'Sem 47'!O29</f>
        <v>0</v>
      </c>
      <c r="AW27">
        <f>'Sem 48'!O29</f>
        <v>0</v>
      </c>
      <c r="AX27">
        <f>'Sem 49'!O29</f>
        <v>0</v>
      </c>
      <c r="AY27">
        <f>'Sem 50'!O29</f>
        <v>0</v>
      </c>
      <c r="AZ27">
        <f>'Sem 51'!O29</f>
        <v>0</v>
      </c>
      <c r="BA27">
        <f>'Sem 52'!O29</f>
        <v>0</v>
      </c>
      <c r="BB27" s="65">
        <f t="shared" si="0"/>
        <v>1097.5</v>
      </c>
    </row>
    <row r="28" spans="1:55" x14ac:dyDescent="0.25">
      <c r="F28" s="65"/>
      <c r="G28" s="65"/>
      <c r="H28" s="65"/>
      <c r="I28" s="65"/>
      <c r="J28" s="65"/>
      <c r="L28" s="65"/>
      <c r="M28" s="65"/>
      <c r="N28" s="65"/>
      <c r="O28" s="65"/>
      <c r="P28" s="65"/>
      <c r="Q28" s="65"/>
      <c r="R28" s="12">
        <f>'Sem 17'!O30</f>
        <v>371.5</v>
      </c>
      <c r="S28" s="65"/>
      <c r="T28" s="65">
        <f>'Sem 19'!O30</f>
        <v>0</v>
      </c>
      <c r="U28" s="65">
        <f>'Sem 20'!O30</f>
        <v>0</v>
      </c>
      <c r="V28" s="65">
        <f>'Sem 21'!O30</f>
        <v>0</v>
      </c>
      <c r="W28" s="65">
        <f>'Sem 22'!O30</f>
        <v>0</v>
      </c>
      <c r="X28" s="65">
        <f>'Sem 23'!O30</f>
        <v>0</v>
      </c>
      <c r="Y28" s="65">
        <f>'Sem 24'!O30</f>
        <v>0</v>
      </c>
      <c r="Z28" s="65">
        <f>'Sem 25'!O30</f>
        <v>0</v>
      </c>
      <c r="AA28" s="65">
        <f>'Sem 26'!O30</f>
        <v>0</v>
      </c>
      <c r="AB28" s="65">
        <f>'Sem 27'!O30</f>
        <v>0</v>
      </c>
      <c r="AC28" s="65">
        <f>'Sem 28'!O30</f>
        <v>0</v>
      </c>
      <c r="AD28" s="65">
        <f>'Sem 29'!O30</f>
        <v>0</v>
      </c>
      <c r="AE28" s="65">
        <f>'Sem 30'!O30</f>
        <v>0</v>
      </c>
      <c r="AF28" s="65">
        <f>'Sem 31'!O30</f>
        <v>0</v>
      </c>
      <c r="AG28">
        <f>'Sem 32'!O30</f>
        <v>0</v>
      </c>
      <c r="AH28">
        <f>'Sem 33'!O30</f>
        <v>0</v>
      </c>
      <c r="AI28">
        <f>'Sem 34'!O30</f>
        <v>0</v>
      </c>
      <c r="AJ28">
        <f>'Sem 35'!O30</f>
        <v>0</v>
      </c>
      <c r="AK28" s="65">
        <f>'Sem 36'!O30</f>
        <v>0</v>
      </c>
      <c r="AL28" s="65">
        <f>'Sem 37'!O30</f>
        <v>0</v>
      </c>
      <c r="AM28" s="65">
        <f>'Sem 38'!O30</f>
        <v>0</v>
      </c>
      <c r="AN28">
        <f>'Sem 39'!O30</f>
        <v>0</v>
      </c>
      <c r="AO28">
        <f>'Sem 40'!O30</f>
        <v>0</v>
      </c>
      <c r="AP28">
        <f>'Sem 41'!O30</f>
        <v>0</v>
      </c>
      <c r="AQ28">
        <f>'Sem 42'!O30</f>
        <v>0</v>
      </c>
      <c r="AR28">
        <f>'Sem 43'!O30</f>
        <v>0</v>
      </c>
      <c r="AS28">
        <f>'Sem 44'!O30</f>
        <v>0</v>
      </c>
      <c r="AT28">
        <f>'Sem 45'!O30</f>
        <v>0</v>
      </c>
      <c r="AU28">
        <f>'Sem 46'!O30</f>
        <v>0</v>
      </c>
      <c r="AV28">
        <f>'Sem 47'!O30</f>
        <v>0</v>
      </c>
      <c r="AW28">
        <f>'Sem 48'!O30</f>
        <v>0</v>
      </c>
      <c r="AX28">
        <f>'Sem 49'!O30</f>
        <v>0</v>
      </c>
      <c r="AY28">
        <f>'Sem 50'!O30</f>
        <v>0</v>
      </c>
      <c r="BA28">
        <f>'Sem 52'!O30</f>
        <v>0</v>
      </c>
      <c r="BB28" s="65">
        <f t="shared" si="0"/>
        <v>371.5</v>
      </c>
    </row>
    <row r="29" spans="1:55" x14ac:dyDescent="0.25">
      <c r="F29" s="65"/>
      <c r="G29" s="65"/>
      <c r="H29" s="65"/>
      <c r="I29" s="65"/>
      <c r="J29" s="65"/>
      <c r="L29" s="65"/>
      <c r="M29" s="65"/>
      <c r="N29" s="65"/>
      <c r="O29" s="65"/>
      <c r="P29" s="65"/>
      <c r="Q29" s="65"/>
      <c r="R29" s="12">
        <f>'Sem 17'!O31</f>
        <v>496.5</v>
      </c>
      <c r="S29" s="65"/>
      <c r="T29" s="65">
        <f>'Sem 19'!O31</f>
        <v>0</v>
      </c>
      <c r="U29" s="65">
        <f>'Sem 20'!O31</f>
        <v>0</v>
      </c>
      <c r="V29" s="65">
        <f>'Sem 21'!O31</f>
        <v>0</v>
      </c>
      <c r="W29" s="65">
        <f>'Sem 22'!O31</f>
        <v>0</v>
      </c>
      <c r="X29" s="65">
        <f>'Sem 23'!O31</f>
        <v>0</v>
      </c>
      <c r="Y29" s="65">
        <f>'Sem 24'!O31</f>
        <v>0</v>
      </c>
      <c r="Z29" s="65">
        <f>'Sem 25'!O31</f>
        <v>0</v>
      </c>
      <c r="AA29" s="65">
        <f>'Sem 26'!O31</f>
        <v>0</v>
      </c>
      <c r="AB29" s="65">
        <f>'Sem 27'!O31</f>
        <v>0</v>
      </c>
      <c r="AC29" s="65">
        <f>'Sem 28'!O31</f>
        <v>0</v>
      </c>
      <c r="AD29" s="65">
        <f>'Sem 29'!O31</f>
        <v>0</v>
      </c>
      <c r="AE29" s="65">
        <f>'Sem 30'!O31</f>
        <v>0</v>
      </c>
      <c r="AF29" s="65">
        <f>'Sem 31'!O31</f>
        <v>0</v>
      </c>
      <c r="AG29">
        <f>'Sem 32'!O31</f>
        <v>0</v>
      </c>
      <c r="AH29">
        <f>'Sem 33'!O31</f>
        <v>0</v>
      </c>
      <c r="AI29">
        <f>'Sem 34'!O31</f>
        <v>0</v>
      </c>
      <c r="AJ29">
        <f>'Sem 35'!O31</f>
        <v>0</v>
      </c>
      <c r="AK29" s="65">
        <f>'Sem 36'!O31</f>
        <v>0</v>
      </c>
      <c r="AL29" s="65">
        <f>'Sem 37'!O31</f>
        <v>0</v>
      </c>
      <c r="AM29" s="65">
        <f>'Sem 38'!O31</f>
        <v>0</v>
      </c>
      <c r="AN29">
        <f>'Sem 39'!O31</f>
        <v>0</v>
      </c>
      <c r="AO29">
        <f>'Sem 40'!O31</f>
        <v>0</v>
      </c>
      <c r="AP29">
        <f>'Sem 41'!O31</f>
        <v>0</v>
      </c>
      <c r="AQ29">
        <f>'Sem 42'!O31</f>
        <v>0</v>
      </c>
      <c r="AR29">
        <f>'Sem 43'!O31</f>
        <v>0</v>
      </c>
      <c r="AS29">
        <f>'Sem 44'!O31</f>
        <v>0</v>
      </c>
      <c r="AT29">
        <f>'Sem 45'!O31</f>
        <v>0</v>
      </c>
      <c r="AU29">
        <f>'Sem 46'!O31</f>
        <v>0</v>
      </c>
      <c r="AV29">
        <f>'Sem 47'!O31</f>
        <v>0</v>
      </c>
      <c r="AW29">
        <f>'Sem 48'!O31</f>
        <v>0</v>
      </c>
      <c r="AX29">
        <f>'Sem 49'!O31</f>
        <v>0</v>
      </c>
      <c r="AY29">
        <f>'Sem 50'!O31</f>
        <v>0</v>
      </c>
      <c r="BB29" s="65">
        <f t="shared" si="0"/>
        <v>496.5</v>
      </c>
    </row>
    <row r="30" spans="1:55" x14ac:dyDescent="0.25">
      <c r="F30" s="65"/>
      <c r="G30" s="65"/>
      <c r="H30" s="65"/>
      <c r="I30" s="65"/>
      <c r="J30" s="65"/>
      <c r="L30" s="65"/>
      <c r="M30" s="65"/>
      <c r="N30" s="65"/>
      <c r="O30" s="65"/>
      <c r="P30" s="65"/>
      <c r="Q30" s="65"/>
      <c r="R30" s="12">
        <f>'Sem 17'!O32</f>
        <v>2796.5</v>
      </c>
      <c r="S30" s="65"/>
      <c r="T30" s="65">
        <f>'Sem 19'!O32</f>
        <v>0</v>
      </c>
      <c r="U30" s="65">
        <f>'Sem 20'!O32</f>
        <v>0</v>
      </c>
      <c r="V30" s="65">
        <f>'Sem 21'!O32</f>
        <v>0</v>
      </c>
      <c r="W30" s="65">
        <f>'Sem 22'!O32</f>
        <v>0</v>
      </c>
      <c r="X30" s="65">
        <f>'Sem 23'!O32</f>
        <v>0</v>
      </c>
      <c r="Y30" s="65">
        <f>'Sem 24'!O32</f>
        <v>0</v>
      </c>
      <c r="Z30" s="65">
        <f>'Sem 25'!O32</f>
        <v>0</v>
      </c>
      <c r="AA30" s="65">
        <f>'Sem 26'!O32</f>
        <v>0</v>
      </c>
      <c r="AB30" s="65">
        <f>'Sem 27'!O32</f>
        <v>0</v>
      </c>
      <c r="AC30" s="65">
        <f>'Sem 28'!O32</f>
        <v>0</v>
      </c>
      <c r="AD30" s="65">
        <f>'Sem 29'!O32</f>
        <v>0</v>
      </c>
      <c r="AE30" s="65">
        <f>'Sem 30'!O32</f>
        <v>0</v>
      </c>
      <c r="AF30" s="65">
        <f>'Sem 31'!O32</f>
        <v>0</v>
      </c>
      <c r="AG30">
        <f>'Sem 32'!O32</f>
        <v>0</v>
      </c>
      <c r="AH30">
        <f>'Sem 33'!O32</f>
        <v>0</v>
      </c>
      <c r="AI30">
        <f>'Sem 34'!O32</f>
        <v>0</v>
      </c>
      <c r="AJ30">
        <f>'Sem 35'!O32</f>
        <v>0</v>
      </c>
      <c r="AK30" s="65">
        <f>'Sem 36'!O32</f>
        <v>0</v>
      </c>
      <c r="AL30" s="65">
        <f>'Sem 37'!O32</f>
        <v>0</v>
      </c>
      <c r="AM30" s="65">
        <f>'Sem 38'!O32</f>
        <v>0</v>
      </c>
      <c r="AN30">
        <f>'Sem 39'!O32</f>
        <v>0</v>
      </c>
      <c r="AO30">
        <f>'Sem 40'!O32</f>
        <v>0</v>
      </c>
      <c r="AP30">
        <f>'Sem 41'!O32</f>
        <v>0</v>
      </c>
      <c r="AQ30">
        <f>'Sem 42'!O32</f>
        <v>0</v>
      </c>
      <c r="AR30">
        <f>'Sem 43'!O32</f>
        <v>0</v>
      </c>
      <c r="AS30">
        <f>'Sem 44'!O32</f>
        <v>0</v>
      </c>
      <c r="AT30">
        <f>'Sem 45'!O32</f>
        <v>0</v>
      </c>
      <c r="AU30">
        <f>'Sem 46'!O32</f>
        <v>0</v>
      </c>
      <c r="AV30">
        <f>'Sem 47'!O32</f>
        <v>0</v>
      </c>
      <c r="AW30">
        <f>'Sem 48'!O32</f>
        <v>0</v>
      </c>
      <c r="AX30">
        <f>'Sem 49'!O32</f>
        <v>0</v>
      </c>
      <c r="AY30">
        <f>'Sem 50'!O32</f>
        <v>0</v>
      </c>
      <c r="BB30" s="65">
        <f t="shared" si="0"/>
        <v>2796.5</v>
      </c>
    </row>
    <row r="31" spans="1:55" x14ac:dyDescent="0.25">
      <c r="F31" s="65"/>
      <c r="G31" s="65"/>
      <c r="H31" s="65"/>
      <c r="I31" s="65"/>
      <c r="J31" s="65"/>
      <c r="L31" s="65"/>
      <c r="M31" s="65"/>
      <c r="N31" s="65"/>
      <c r="O31" s="65"/>
      <c r="P31" s="65"/>
      <c r="Q31" s="65"/>
      <c r="R31" s="12">
        <f>'Sem 17'!O33</f>
        <v>2325.5</v>
      </c>
      <c r="S31" s="65"/>
      <c r="T31" s="65">
        <f>'Sem 19'!O33</f>
        <v>0</v>
      </c>
      <c r="U31" s="65">
        <f>'Sem 20'!O33</f>
        <v>0</v>
      </c>
      <c r="V31" s="65">
        <f>'Sem 21'!O33</f>
        <v>0</v>
      </c>
      <c r="W31" s="65">
        <f>'Sem 22'!O33</f>
        <v>0</v>
      </c>
      <c r="X31" s="65">
        <f>'Sem 23'!O33</f>
        <v>0</v>
      </c>
      <c r="Y31" s="65">
        <f>'Sem 24'!O33</f>
        <v>0</v>
      </c>
      <c r="Z31" s="65">
        <f>'Sem 25'!O33</f>
        <v>0</v>
      </c>
      <c r="AA31" s="65">
        <f>'Sem 26'!O33</f>
        <v>0</v>
      </c>
      <c r="AB31" s="65">
        <f>'Sem 27'!O33</f>
        <v>0</v>
      </c>
      <c r="AC31" s="65">
        <f>'Sem 28'!O33</f>
        <v>0</v>
      </c>
      <c r="AD31" s="65">
        <f>'Sem 29'!O33</f>
        <v>0</v>
      </c>
      <c r="AE31" s="65">
        <f>'Sem 30'!O33</f>
        <v>0</v>
      </c>
      <c r="AF31" s="65">
        <f>'Sem 31'!O33</f>
        <v>0</v>
      </c>
      <c r="AG31">
        <f>'Sem 32'!O33</f>
        <v>0</v>
      </c>
      <c r="AH31">
        <f>'Sem 33'!O33</f>
        <v>0</v>
      </c>
      <c r="AI31">
        <f>'Sem 34'!O33</f>
        <v>0</v>
      </c>
      <c r="AJ31">
        <f>'Sem 35'!O33</f>
        <v>0</v>
      </c>
      <c r="AK31" s="65">
        <f>'Sem 36'!O33</f>
        <v>0</v>
      </c>
      <c r="AL31" s="65">
        <f>'Sem 37'!O33</f>
        <v>0</v>
      </c>
      <c r="AM31" s="65">
        <f>'Sem 38'!O33</f>
        <v>0</v>
      </c>
      <c r="AN31">
        <f>'Sem 39'!O33</f>
        <v>0</v>
      </c>
      <c r="AO31">
        <f>'Sem 40'!O33</f>
        <v>0</v>
      </c>
      <c r="AP31">
        <f>'Sem 41'!O33</f>
        <v>0</v>
      </c>
      <c r="AQ31">
        <f>'Sem 42'!O33</f>
        <v>0</v>
      </c>
      <c r="AR31">
        <f>'Sem 43'!O33</f>
        <v>0</v>
      </c>
      <c r="AS31">
        <f>'Sem 44'!O33</f>
        <v>0</v>
      </c>
      <c r="AT31">
        <f>'Sem 45'!O33</f>
        <v>0</v>
      </c>
      <c r="AU31">
        <f>'Sem 46'!O33</f>
        <v>0</v>
      </c>
      <c r="AV31">
        <f>'Sem 47'!O33</f>
        <v>0</v>
      </c>
      <c r="AW31">
        <f>'Sem 48'!O33</f>
        <v>0</v>
      </c>
      <c r="AX31">
        <f>'Sem 49'!O33</f>
        <v>0</v>
      </c>
      <c r="AY31">
        <f>'Sem 50'!O33</f>
        <v>0</v>
      </c>
      <c r="BB31" s="65">
        <f t="shared" si="0"/>
        <v>2325.5</v>
      </c>
    </row>
    <row r="32" spans="1:55" x14ac:dyDescent="0.25">
      <c r="F32" s="65"/>
      <c r="G32" s="65"/>
      <c r="H32" s="65"/>
      <c r="I32" s="65"/>
      <c r="J32" s="65"/>
      <c r="L32" s="65"/>
      <c r="M32" s="65"/>
      <c r="N32" s="65"/>
      <c r="O32" s="65"/>
      <c r="P32" s="65"/>
      <c r="Q32" s="65"/>
      <c r="R32" s="12">
        <f>'Sem 17'!O34</f>
        <v>620</v>
      </c>
      <c r="S32" s="65"/>
      <c r="T32" s="65">
        <f>'Sem 19'!O34</f>
        <v>0</v>
      </c>
      <c r="U32" s="65">
        <f>'Sem 20'!O34</f>
        <v>0</v>
      </c>
      <c r="V32" s="65">
        <f>'Sem 21'!O34</f>
        <v>0</v>
      </c>
      <c r="W32" s="65">
        <f>'Sem 22'!O34</f>
        <v>0</v>
      </c>
      <c r="X32" s="65">
        <f>'Sem 23'!O34</f>
        <v>0</v>
      </c>
      <c r="Y32" s="65">
        <f>'Sem 24'!O34</f>
        <v>0</v>
      </c>
      <c r="Z32" s="65">
        <f>'Sem 25'!O34</f>
        <v>0</v>
      </c>
      <c r="AA32" s="65">
        <f>'Sem 26'!O34</f>
        <v>0</v>
      </c>
      <c r="AB32" s="65">
        <f>'Sem 27'!O34</f>
        <v>0</v>
      </c>
      <c r="AC32" s="65">
        <f>'Sem 28'!O34</f>
        <v>0</v>
      </c>
      <c r="AD32" s="65">
        <f>'Sem 29'!O34</f>
        <v>0</v>
      </c>
      <c r="AE32" s="65">
        <f>'Sem 30'!O34</f>
        <v>0</v>
      </c>
      <c r="AF32" s="65">
        <f>'Sem 31'!O34</f>
        <v>0</v>
      </c>
      <c r="AG32">
        <f>'Sem 32'!O34</f>
        <v>0</v>
      </c>
      <c r="AH32">
        <f>'Sem 33'!O34</f>
        <v>0</v>
      </c>
      <c r="AI32">
        <f>'Sem 34'!O34</f>
        <v>0</v>
      </c>
      <c r="AJ32">
        <f>'Sem 35'!O34</f>
        <v>0</v>
      </c>
      <c r="AK32" s="65">
        <f>'Sem 36'!O34</f>
        <v>0</v>
      </c>
      <c r="AL32" s="65">
        <f>'Sem 37'!O34</f>
        <v>0</v>
      </c>
      <c r="AM32" s="65">
        <f>'Sem 38'!O34</f>
        <v>0</v>
      </c>
      <c r="AN32">
        <f>'Sem 39'!O34</f>
        <v>0</v>
      </c>
      <c r="AO32">
        <f>'Sem 40'!O34</f>
        <v>0</v>
      </c>
      <c r="AP32">
        <f>'Sem 41'!O34</f>
        <v>0</v>
      </c>
      <c r="AQ32">
        <f>'Sem 42'!O34</f>
        <v>0</v>
      </c>
      <c r="AR32">
        <f>'Sem 43'!O34</f>
        <v>0</v>
      </c>
      <c r="AS32">
        <f>'Sem 44'!O34</f>
        <v>0</v>
      </c>
      <c r="AT32">
        <f>'Sem 45'!O34</f>
        <v>0</v>
      </c>
      <c r="AU32">
        <f>'Sem 46'!O34</f>
        <v>0</v>
      </c>
      <c r="AV32">
        <f>'Sem 47'!O34</f>
        <v>0</v>
      </c>
      <c r="AW32">
        <f>'Sem 48'!O34</f>
        <v>0</v>
      </c>
      <c r="AX32">
        <f>'Sem 49'!O34</f>
        <v>0</v>
      </c>
      <c r="AY32">
        <f>'Sem 50'!O34</f>
        <v>0</v>
      </c>
      <c r="BB32" s="65">
        <f t="shared" si="0"/>
        <v>620</v>
      </c>
    </row>
    <row r="33" spans="1:54" x14ac:dyDescent="0.25">
      <c r="F33" s="65"/>
      <c r="G33" s="65"/>
      <c r="H33" s="65"/>
      <c r="I33" s="65"/>
      <c r="J33" s="65"/>
      <c r="L33" s="65"/>
      <c r="M33" s="65"/>
      <c r="N33" s="65"/>
      <c r="O33" s="65"/>
      <c r="P33" s="65"/>
      <c r="Q33" s="65"/>
      <c r="R33" s="12">
        <f>'Sem 17'!O35</f>
        <v>895.5</v>
      </c>
      <c r="S33" s="65"/>
      <c r="T33" s="65">
        <f>'Sem 19'!O35</f>
        <v>0</v>
      </c>
      <c r="U33" s="65">
        <f>'Sem 20'!O35</f>
        <v>0</v>
      </c>
      <c r="V33" s="65">
        <f>'Sem 21'!O35</f>
        <v>0</v>
      </c>
      <c r="W33" s="65">
        <f>'Sem 22'!O35</f>
        <v>0</v>
      </c>
      <c r="X33" s="65">
        <f>'Sem 23'!O35</f>
        <v>0</v>
      </c>
      <c r="Y33" s="65">
        <f>'Sem 24'!O35</f>
        <v>0</v>
      </c>
      <c r="Z33" s="65">
        <f>'Sem 25'!O35</f>
        <v>0</v>
      </c>
      <c r="AA33" s="65">
        <f>'Sem 26'!O35</f>
        <v>0</v>
      </c>
      <c r="AB33" s="65">
        <f>'Sem 27'!O35</f>
        <v>0</v>
      </c>
      <c r="AC33" s="65">
        <f>'Sem 28'!O35</f>
        <v>0</v>
      </c>
      <c r="AD33" s="65">
        <f>'Sem 29'!O35</f>
        <v>0</v>
      </c>
      <c r="AE33" s="65">
        <f>'Sem 30'!O35</f>
        <v>0</v>
      </c>
      <c r="AF33" s="65">
        <f>'Sem 31'!O35</f>
        <v>0</v>
      </c>
      <c r="AG33">
        <f>'Sem 32'!O35</f>
        <v>0</v>
      </c>
      <c r="AH33">
        <f>'Sem 33'!O35</f>
        <v>0</v>
      </c>
      <c r="AI33">
        <f>'Sem 34'!O35</f>
        <v>0</v>
      </c>
      <c r="AJ33">
        <f>'Sem 35'!O35</f>
        <v>0</v>
      </c>
      <c r="AK33" s="65">
        <f>'Sem 36'!O35</f>
        <v>0</v>
      </c>
      <c r="AL33" s="65">
        <f>'Sem 37'!O35</f>
        <v>0</v>
      </c>
      <c r="AM33" s="65">
        <f>'Sem 38'!O35</f>
        <v>0</v>
      </c>
      <c r="AN33">
        <f>'Sem 39'!O35</f>
        <v>0</v>
      </c>
      <c r="AO33">
        <f>'Sem 40'!O35</f>
        <v>0</v>
      </c>
      <c r="AP33">
        <f>'Sem 41'!O35</f>
        <v>0</v>
      </c>
      <c r="AQ33">
        <f>'Sem 42'!O35</f>
        <v>0</v>
      </c>
      <c r="AR33">
        <f>'Sem 43'!O35</f>
        <v>0</v>
      </c>
      <c r="AS33">
        <f>'Sem 44'!O35</f>
        <v>0</v>
      </c>
      <c r="AT33">
        <f>'Sem 45'!O35</f>
        <v>0</v>
      </c>
      <c r="AU33">
        <f>'Sem 46'!O35</f>
        <v>0</v>
      </c>
      <c r="AV33">
        <f>'Sem 47'!O35</f>
        <v>0</v>
      </c>
      <c r="AW33">
        <f>'Sem 48'!O35</f>
        <v>0</v>
      </c>
      <c r="AX33">
        <f>'Sem 49'!O35</f>
        <v>0</v>
      </c>
      <c r="AY33">
        <f>'Sem 50'!O35</f>
        <v>0</v>
      </c>
      <c r="BB33" s="65">
        <f t="shared" si="0"/>
        <v>895.5</v>
      </c>
    </row>
    <row r="34" spans="1:54" x14ac:dyDescent="0.25">
      <c r="F34" s="65"/>
      <c r="G34" s="65"/>
      <c r="H34" s="65"/>
      <c r="I34" s="65"/>
      <c r="J34" s="65"/>
      <c r="L34" s="65"/>
      <c r="M34" s="65"/>
      <c r="N34" s="65"/>
      <c r="O34" s="65"/>
      <c r="P34" s="65"/>
      <c r="Q34" s="65"/>
      <c r="R34" s="12">
        <f>'Sem 17'!O36</f>
        <v>80</v>
      </c>
      <c r="S34" s="65"/>
      <c r="T34" s="65">
        <f>'Sem 19'!O36</f>
        <v>0</v>
      </c>
      <c r="U34" s="65">
        <f>'Sem 20'!O36</f>
        <v>0</v>
      </c>
      <c r="V34" s="65">
        <f>'Sem 21'!O36</f>
        <v>0</v>
      </c>
      <c r="W34" s="65">
        <f>'Sem 22'!O36</f>
        <v>0</v>
      </c>
      <c r="X34" s="65">
        <f>'Sem 23'!O36</f>
        <v>0</v>
      </c>
      <c r="Y34" s="65">
        <f>'Sem 24'!O36</f>
        <v>0</v>
      </c>
      <c r="Z34" s="65">
        <f>'Sem 25'!O36</f>
        <v>0</v>
      </c>
      <c r="AA34" s="65">
        <f>'Sem 26'!O36</f>
        <v>0</v>
      </c>
      <c r="AB34" s="65">
        <f>'Sem 27'!O36</f>
        <v>0</v>
      </c>
      <c r="AC34" s="65">
        <f>'Sem 28'!O36</f>
        <v>0</v>
      </c>
      <c r="AD34" s="65">
        <f>'Sem 29'!O36</f>
        <v>0</v>
      </c>
      <c r="AE34" s="65">
        <f>'Sem 30'!O36</f>
        <v>0</v>
      </c>
      <c r="AF34" s="65">
        <f>'Sem 31'!O36</f>
        <v>0</v>
      </c>
      <c r="AG34">
        <f>'Sem 32'!O36</f>
        <v>0</v>
      </c>
      <c r="AH34">
        <f>'Sem 33'!O36</f>
        <v>0</v>
      </c>
      <c r="AI34">
        <f>'Sem 34'!O36</f>
        <v>0</v>
      </c>
      <c r="AJ34">
        <f>'Sem 35'!O36</f>
        <v>0</v>
      </c>
      <c r="AK34" s="65">
        <f>'Sem 36'!O36</f>
        <v>0</v>
      </c>
      <c r="AL34" s="65">
        <f>'Sem 37'!O36</f>
        <v>0</v>
      </c>
      <c r="AM34" s="65">
        <f>'Sem 38'!O36</f>
        <v>0</v>
      </c>
      <c r="AN34">
        <f>'Sem 39'!O36</f>
        <v>0</v>
      </c>
      <c r="AO34">
        <f>'Sem 40'!O36</f>
        <v>0</v>
      </c>
      <c r="AP34">
        <f>'Sem 41'!O36</f>
        <v>0</v>
      </c>
      <c r="AQ34">
        <f>'Sem 42'!O36</f>
        <v>0</v>
      </c>
      <c r="AR34">
        <f>'Sem 43'!O36</f>
        <v>0</v>
      </c>
      <c r="AS34">
        <f>'Sem 44'!O36</f>
        <v>0</v>
      </c>
      <c r="AT34">
        <f>'Sem 45'!O36</f>
        <v>0</v>
      </c>
      <c r="AU34">
        <f>'Sem 46'!O36</f>
        <v>0</v>
      </c>
      <c r="AV34">
        <f>'Sem 47'!O36</f>
        <v>0</v>
      </c>
      <c r="AW34">
        <f>'Sem 48'!O36</f>
        <v>0</v>
      </c>
      <c r="AX34">
        <f>'Sem 49'!O36</f>
        <v>0</v>
      </c>
      <c r="AY34">
        <f>'Sem 50'!O36</f>
        <v>0</v>
      </c>
      <c r="BB34" s="65">
        <f t="shared" si="0"/>
        <v>80</v>
      </c>
    </row>
    <row r="35" spans="1:54" x14ac:dyDescent="0.25">
      <c r="F35" s="65"/>
      <c r="G35" s="65"/>
      <c r="H35" s="65"/>
      <c r="I35" s="65"/>
      <c r="J35" s="65"/>
      <c r="L35" s="65"/>
      <c r="M35" s="65"/>
      <c r="N35" s="65"/>
      <c r="O35" s="65"/>
      <c r="P35" s="65"/>
      <c r="Q35" s="65"/>
      <c r="S35" s="65"/>
      <c r="BB35" s="65">
        <f t="shared" si="0"/>
        <v>0</v>
      </c>
    </row>
    <row r="36" spans="1:54" x14ac:dyDescent="0.25">
      <c r="A36" t="s">
        <v>119</v>
      </c>
      <c r="B36" s="22">
        <f t="shared" ref="B36:Q36" si="2">SUM(B2:B25)</f>
        <v>2486.9499999999998</v>
      </c>
      <c r="C36" s="22">
        <f t="shared" si="2"/>
        <v>3367.5</v>
      </c>
      <c r="D36" s="22">
        <f t="shared" si="2"/>
        <v>3190.3400000000006</v>
      </c>
      <c r="E36" s="22">
        <f t="shared" si="2"/>
        <v>3811.5000000000005</v>
      </c>
      <c r="F36" s="22">
        <f t="shared" si="2"/>
        <v>3861.37</v>
      </c>
      <c r="G36" s="22">
        <f t="shared" si="2"/>
        <v>4995.49</v>
      </c>
      <c r="H36" s="113">
        <f t="shared" si="2"/>
        <v>12813.7</v>
      </c>
      <c r="I36" s="22">
        <f t="shared" si="2"/>
        <v>4316.3899999999994</v>
      </c>
      <c r="J36" s="22">
        <f t="shared" si="2"/>
        <v>4291.5599999999995</v>
      </c>
      <c r="K36" s="22">
        <f t="shared" si="2"/>
        <v>6359.6799999999994</v>
      </c>
      <c r="L36" s="22">
        <f t="shared" si="2"/>
        <v>3928.1399999999994</v>
      </c>
      <c r="M36" s="22">
        <f t="shared" si="2"/>
        <v>4093.0499999999997</v>
      </c>
      <c r="N36" s="22">
        <f t="shared" si="2"/>
        <v>6637.1500000000005</v>
      </c>
      <c r="O36" s="22">
        <f t="shared" si="2"/>
        <v>3723.3999999999996</v>
      </c>
      <c r="P36" s="22">
        <f t="shared" si="2"/>
        <v>3123.96</v>
      </c>
      <c r="Q36" s="22">
        <f t="shared" si="2"/>
        <v>4680.9000000000005</v>
      </c>
      <c r="R36" s="65">
        <f>SUM(R2:R34)</f>
        <v>42798.3</v>
      </c>
      <c r="S36" s="113">
        <f t="shared" ref="S36:AO36" si="3">SUM(S2:S25)</f>
        <v>4146.7</v>
      </c>
      <c r="T36" s="113">
        <f t="shared" si="3"/>
        <v>20183.810000000001</v>
      </c>
      <c r="U36" s="22">
        <f t="shared" si="3"/>
        <v>3229.3000000000006</v>
      </c>
      <c r="V36" s="22">
        <f t="shared" si="3"/>
        <v>3989.5</v>
      </c>
      <c r="W36" s="22">
        <f t="shared" si="3"/>
        <v>3261.4</v>
      </c>
      <c r="X36" s="22">
        <f t="shared" si="3"/>
        <v>3306.4599999999996</v>
      </c>
      <c r="Y36" s="22">
        <f t="shared" si="3"/>
        <v>3963.7</v>
      </c>
      <c r="Z36" s="22">
        <f t="shared" si="3"/>
        <v>5171.8500000000004</v>
      </c>
      <c r="AA36" s="22">
        <f t="shared" si="3"/>
        <v>5059.8099999999995</v>
      </c>
      <c r="AB36" s="22">
        <f t="shared" si="3"/>
        <v>4814.2700000000004</v>
      </c>
      <c r="AC36" s="22">
        <f t="shared" si="3"/>
        <v>3313.9</v>
      </c>
      <c r="AD36" s="22">
        <f t="shared" si="3"/>
        <v>2325.92</v>
      </c>
      <c r="AE36" s="22">
        <f t="shared" si="3"/>
        <v>1736.95</v>
      </c>
      <c r="AF36" s="22">
        <f t="shared" si="3"/>
        <v>2322.9499999999998</v>
      </c>
      <c r="AG36" s="22">
        <f t="shared" si="3"/>
        <v>2753.5899999999997</v>
      </c>
      <c r="AH36" s="22">
        <f t="shared" si="3"/>
        <v>3779.9</v>
      </c>
      <c r="AI36" s="22">
        <f t="shared" si="3"/>
        <v>5188.7500000000009</v>
      </c>
      <c r="AJ36" s="22">
        <f t="shared" si="3"/>
        <v>3943.6400000000003</v>
      </c>
      <c r="AK36" s="22">
        <f t="shared" si="3"/>
        <v>50</v>
      </c>
      <c r="AL36" s="22">
        <f t="shared" si="3"/>
        <v>0</v>
      </c>
      <c r="AM36" s="22">
        <f t="shared" si="3"/>
        <v>3711.11</v>
      </c>
      <c r="AN36" s="22">
        <f t="shared" si="3"/>
        <v>3856.21</v>
      </c>
      <c r="AO36" s="22">
        <f t="shared" si="3"/>
        <v>3667.6600000000003</v>
      </c>
      <c r="AP36" s="22">
        <f t="shared" ref="AP36:BA36" si="4">SUM(AP2:AP25)</f>
        <v>3990.5600000000004</v>
      </c>
      <c r="AQ36" s="22">
        <f t="shared" si="4"/>
        <v>3374.82</v>
      </c>
      <c r="AR36" s="22">
        <f t="shared" si="4"/>
        <v>7452.5199999999986</v>
      </c>
      <c r="AS36" s="22">
        <f t="shared" si="4"/>
        <v>5656.91</v>
      </c>
      <c r="AT36" s="22">
        <f t="shared" si="4"/>
        <v>4267.05</v>
      </c>
      <c r="AU36" s="22">
        <f t="shared" si="4"/>
        <v>2649.91</v>
      </c>
      <c r="AV36" s="22">
        <f t="shared" si="4"/>
        <v>2863.9100000000003</v>
      </c>
      <c r="AW36" s="22">
        <f t="shared" si="4"/>
        <v>4341.5500000000011</v>
      </c>
      <c r="AX36" s="22">
        <f t="shared" si="4"/>
        <v>3960.1400000000003</v>
      </c>
      <c r="AY36" s="22">
        <f t="shared" si="4"/>
        <v>2790.54</v>
      </c>
      <c r="AZ36" s="113">
        <f t="shared" si="4"/>
        <v>10489.57</v>
      </c>
      <c r="BA36" s="22">
        <f t="shared" si="4"/>
        <v>933.5</v>
      </c>
      <c r="BB36" s="113">
        <f>SUM(BB2:BB35)</f>
        <v>265027.74</v>
      </c>
    </row>
    <row r="37" spans="1:54" x14ac:dyDescent="0.25">
      <c r="R37" s="12">
        <f t="shared" ref="R37:R44" si="5">E37+G37+I37+K37+M37+O37+Q37</f>
        <v>0</v>
      </c>
      <c r="BA37" t="s">
        <v>55</v>
      </c>
      <c r="BB37" s="113">
        <f>SUM(B36:BA36)</f>
        <v>265027.74</v>
      </c>
    </row>
    <row r="38" spans="1:54" x14ac:dyDescent="0.25">
      <c r="R38" s="12">
        <f t="shared" si="5"/>
        <v>0</v>
      </c>
    </row>
    <row r="39" spans="1:54" x14ac:dyDescent="0.25">
      <c r="R39" s="12">
        <f t="shared" si="5"/>
        <v>0</v>
      </c>
      <c r="BB39" s="65">
        <f>BB36-BB37</f>
        <v>0</v>
      </c>
    </row>
    <row r="40" spans="1:54" x14ac:dyDescent="0.25">
      <c r="R40" s="12">
        <f t="shared" si="5"/>
        <v>0</v>
      </c>
    </row>
    <row r="41" spans="1:54" x14ac:dyDescent="0.25">
      <c r="R41" s="12">
        <f t="shared" si="5"/>
        <v>0</v>
      </c>
    </row>
    <row r="42" spans="1:54" x14ac:dyDescent="0.25">
      <c r="R42" s="12">
        <f t="shared" si="5"/>
        <v>0</v>
      </c>
    </row>
    <row r="43" spans="1:54" x14ac:dyDescent="0.25">
      <c r="R43" s="12">
        <f t="shared" si="5"/>
        <v>0</v>
      </c>
    </row>
    <row r="44" spans="1:54" x14ac:dyDescent="0.25">
      <c r="R44" s="12">
        <f t="shared" si="5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theme="4" tint="0.39997558519241921"/>
  </sheetPr>
  <dimension ref="A2:J29"/>
  <sheetViews>
    <sheetView workbookViewId="0">
      <selection activeCell="G12" sqref="G12"/>
    </sheetView>
  </sheetViews>
  <sheetFormatPr baseColWidth="10" defaultRowHeight="15" x14ac:dyDescent="0.25"/>
  <cols>
    <col min="1" max="1" width="12.5703125" customWidth="1"/>
    <col min="2" max="2" width="14.28515625" bestFit="1" customWidth="1"/>
    <col min="3" max="3" width="6.140625" customWidth="1"/>
    <col min="6" max="6" width="12.42578125" customWidth="1"/>
    <col min="7" max="7" width="23.28515625" bestFit="1" customWidth="1"/>
    <col min="8" max="8" width="13" bestFit="1" customWidth="1"/>
    <col min="9" max="9" width="14.5703125" bestFit="1" customWidth="1"/>
  </cols>
  <sheetData>
    <row r="2" spans="1:10" x14ac:dyDescent="0.25">
      <c r="A2" s="22">
        <v>36775.100000000006</v>
      </c>
      <c r="B2" t="s">
        <v>10</v>
      </c>
      <c r="C2" s="41">
        <f t="shared" ref="C2:C21" si="0">A2/$B$28</f>
        <v>0.13875943703100665</v>
      </c>
      <c r="G2" t="s">
        <v>120</v>
      </c>
    </row>
    <row r="3" spans="1:10" x14ac:dyDescent="0.25">
      <c r="A3" s="65">
        <v>26657.54</v>
      </c>
      <c r="B3" t="s">
        <v>13</v>
      </c>
      <c r="C3" s="66">
        <f t="shared" si="0"/>
        <v>0.100583961512859</v>
      </c>
      <c r="D3" s="54"/>
    </row>
    <row r="4" spans="1:10" x14ac:dyDescent="0.25">
      <c r="A4" s="65">
        <v>24274.65</v>
      </c>
      <c r="B4" t="s">
        <v>19</v>
      </c>
      <c r="C4" s="66">
        <f t="shared" si="0"/>
        <v>9.1592864958211548E-2</v>
      </c>
      <c r="D4" s="54">
        <v>0.33</v>
      </c>
      <c r="G4" t="s">
        <v>121</v>
      </c>
      <c r="H4" s="55">
        <f ca="1">TODAY()</f>
        <v>43462</v>
      </c>
    </row>
    <row r="5" spans="1:10" x14ac:dyDescent="0.25">
      <c r="A5" s="65">
        <v>23266.129999999997</v>
      </c>
      <c r="B5" t="s">
        <v>24</v>
      </c>
      <c r="C5" s="66">
        <f t="shared" si="0"/>
        <v>8.7787527449013442E-2</v>
      </c>
      <c r="G5" t="s">
        <v>122</v>
      </c>
      <c r="H5" s="55">
        <v>43101</v>
      </c>
      <c r="I5" t="s">
        <v>124</v>
      </c>
      <c r="J5" s="55">
        <v>43465</v>
      </c>
    </row>
    <row r="6" spans="1:10" x14ac:dyDescent="0.25">
      <c r="A6" s="65">
        <v>22847.64</v>
      </c>
      <c r="B6" t="s">
        <v>12</v>
      </c>
      <c r="C6" s="66">
        <f t="shared" si="0"/>
        <v>8.6208485194795084E-2</v>
      </c>
      <c r="D6" s="54"/>
    </row>
    <row r="7" spans="1:10" x14ac:dyDescent="0.25">
      <c r="A7" s="65">
        <v>17695.079999999998</v>
      </c>
      <c r="B7" t="s">
        <v>23</v>
      </c>
      <c r="C7" s="66">
        <f t="shared" si="0"/>
        <v>6.6766897683993381E-2</v>
      </c>
      <c r="D7" s="54"/>
      <c r="G7" t="s">
        <v>123</v>
      </c>
      <c r="H7">
        <f ca="1">NETWORKDAYS(H5,H4)</f>
        <v>260</v>
      </c>
    </row>
    <row r="8" spans="1:10" ht="15.75" thickBot="1" x14ac:dyDescent="0.3">
      <c r="A8" s="65">
        <v>17329.939999999999</v>
      </c>
      <c r="B8" t="s">
        <v>21</v>
      </c>
      <c r="C8" s="66">
        <f t="shared" si="0"/>
        <v>6.538915511259312E-2</v>
      </c>
      <c r="D8" s="54">
        <v>0.3</v>
      </c>
      <c r="G8" t="s">
        <v>125</v>
      </c>
      <c r="H8">
        <f>NETWORKDAYS(H5,J5)</f>
        <v>261</v>
      </c>
    </row>
    <row r="9" spans="1:10" x14ac:dyDescent="0.25">
      <c r="A9" s="65">
        <v>16817.73</v>
      </c>
      <c r="B9" t="s">
        <v>15</v>
      </c>
      <c r="C9" s="66">
        <f t="shared" si="0"/>
        <v>6.3456489498042737E-2</v>
      </c>
      <c r="I9" s="76" t="s">
        <v>135</v>
      </c>
    </row>
    <row r="10" spans="1:10" ht="15.75" thickBot="1" x14ac:dyDescent="0.3">
      <c r="A10" s="21">
        <v>15659.760000000002</v>
      </c>
      <c r="B10" t="s">
        <v>22</v>
      </c>
      <c r="C10" s="66">
        <f t="shared" si="0"/>
        <v>5.9087248753658776E-2</v>
      </c>
      <c r="G10" t="s">
        <v>126</v>
      </c>
      <c r="H10" s="21">
        <f ca="1">(B28/H7)*H8</f>
        <v>266047.07746153849</v>
      </c>
      <c r="I10" s="145">
        <f ca="1">H10*40.3399</f>
        <v>10732312.500090716</v>
      </c>
    </row>
    <row r="11" spans="1:10" x14ac:dyDescent="0.25">
      <c r="A11" s="65">
        <v>12558.64</v>
      </c>
      <c r="B11" t="s">
        <v>64</v>
      </c>
      <c r="C11" s="66">
        <f t="shared" si="0"/>
        <v>4.7386133994879176E-2</v>
      </c>
      <c r="D11" s="54"/>
    </row>
    <row r="12" spans="1:10" x14ac:dyDescent="0.25">
      <c r="A12" s="65">
        <v>9355.32</v>
      </c>
      <c r="B12">
        <v>0</v>
      </c>
      <c r="C12" s="66">
        <f t="shared" si="0"/>
        <v>3.5299399225152808E-2</v>
      </c>
      <c r="D12" s="54"/>
    </row>
    <row r="13" spans="1:10" x14ac:dyDescent="0.25">
      <c r="A13" s="65">
        <v>5418.0000000000009</v>
      </c>
      <c r="B13" t="s">
        <v>20</v>
      </c>
      <c r="C13" s="66">
        <f t="shared" si="0"/>
        <v>2.0443143046082652E-2</v>
      </c>
      <c r="D13" s="54"/>
    </row>
    <row r="14" spans="1:10" x14ac:dyDescent="0.25">
      <c r="A14" s="65">
        <v>5142.6200000000008</v>
      </c>
      <c r="B14" t="s">
        <v>11</v>
      </c>
      <c r="C14" s="66">
        <f t="shared" si="0"/>
        <v>1.94040820028877E-2</v>
      </c>
    </row>
    <row r="15" spans="1:10" x14ac:dyDescent="0.25">
      <c r="A15" s="65">
        <v>4650.6900000000005</v>
      </c>
      <c r="B15" t="s">
        <v>227</v>
      </c>
      <c r="C15" s="66">
        <f t="shared" si="0"/>
        <v>1.7547936680137714E-2</v>
      </c>
      <c r="D15" s="54">
        <v>0.27</v>
      </c>
    </row>
    <row r="16" spans="1:10" x14ac:dyDescent="0.25">
      <c r="A16" s="65">
        <v>3444.4500000000003</v>
      </c>
      <c r="B16" t="s">
        <v>18</v>
      </c>
      <c r="C16" s="66">
        <f t="shared" si="0"/>
        <v>1.2996564057785046E-2</v>
      </c>
    </row>
    <row r="17" spans="1:6" x14ac:dyDescent="0.25">
      <c r="A17" s="65">
        <v>3339.2</v>
      </c>
      <c r="B17">
        <v>0</v>
      </c>
      <c r="C17" s="66">
        <f t="shared" si="0"/>
        <v>1.2599435817548759E-2</v>
      </c>
      <c r="D17" s="54"/>
    </row>
    <row r="18" spans="1:6" x14ac:dyDescent="0.25">
      <c r="A18" s="65">
        <v>3181.75</v>
      </c>
      <c r="B18" t="s">
        <v>14</v>
      </c>
      <c r="C18" s="66">
        <f t="shared" si="0"/>
        <v>1.2005347062914999E-2</v>
      </c>
    </row>
    <row r="19" spans="1:6" x14ac:dyDescent="0.25">
      <c r="A19" s="65">
        <v>2382.1</v>
      </c>
      <c r="B19">
        <v>0</v>
      </c>
      <c r="C19" s="66">
        <f t="shared" si="0"/>
        <v>8.9881157346019709E-3</v>
      </c>
    </row>
    <row r="20" spans="1:6" x14ac:dyDescent="0.25">
      <c r="A20" s="22">
        <v>1613.5</v>
      </c>
      <c r="B20">
        <v>0</v>
      </c>
      <c r="C20" s="66">
        <f t="shared" si="0"/>
        <v>6.0880419536460603E-3</v>
      </c>
    </row>
    <row r="21" spans="1:6" x14ac:dyDescent="0.25">
      <c r="A21" s="65">
        <v>1096</v>
      </c>
      <c r="B21">
        <v>0</v>
      </c>
      <c r="C21" s="66">
        <f t="shared" si="0"/>
        <v>4.135416164360757E-3</v>
      </c>
      <c r="F21" t="s">
        <v>190</v>
      </c>
    </row>
    <row r="22" spans="1:6" x14ac:dyDescent="0.25">
      <c r="A22" s="65">
        <v>348.15</v>
      </c>
      <c r="B22" t="s">
        <v>17</v>
      </c>
      <c r="C22" s="66"/>
      <c r="F22" s="65">
        <f>AVERAGE(A2:A17)</f>
        <v>15327.030625000003</v>
      </c>
    </row>
    <row r="23" spans="1:6" x14ac:dyDescent="0.25">
      <c r="A23" s="65">
        <v>0</v>
      </c>
      <c r="B23" t="s">
        <v>16</v>
      </c>
      <c r="C23" s="66">
        <f>A23/$B$28</f>
        <v>0</v>
      </c>
    </row>
    <row r="24" spans="1:6" x14ac:dyDescent="0.25">
      <c r="A24" s="22">
        <v>330.5</v>
      </c>
      <c r="B24">
        <v>0</v>
      </c>
      <c r="C24" s="66">
        <f>A24/$B$28</f>
        <v>1.2470392721909036E-3</v>
      </c>
      <c r="D24" s="54">
        <v>0.1</v>
      </c>
    </row>
    <row r="25" spans="1:6" x14ac:dyDescent="0.25">
      <c r="A25" s="140">
        <v>0</v>
      </c>
      <c r="B25" t="s">
        <v>16</v>
      </c>
      <c r="C25" s="66">
        <f>A25/$B$28</f>
        <v>0</v>
      </c>
    </row>
    <row r="26" spans="1:6" x14ac:dyDescent="0.25">
      <c r="A26" s="140">
        <v>0</v>
      </c>
      <c r="B26" t="s">
        <v>16</v>
      </c>
      <c r="D26">
        <f>SUM(D2:D25)</f>
        <v>1</v>
      </c>
    </row>
    <row r="28" spans="1:6" x14ac:dyDescent="0.25">
      <c r="A28" t="s">
        <v>57</v>
      </c>
      <c r="B28" s="22">
        <f>Totaux!BB36</f>
        <v>265027.74</v>
      </c>
    </row>
    <row r="29" spans="1:6" x14ac:dyDescent="0.25">
      <c r="B29" s="65">
        <f>SUM(A2:A25)</f>
        <v>254184.49000000005</v>
      </c>
    </row>
  </sheetData>
  <sortState ref="A2:B23">
    <sortCondition descending="1" ref="A2:A23"/>
  </sortState>
  <conditionalFormatting sqref="B2:B17">
    <cfRule type="cellIs" dxfId="2" priority="2" operator="between">
      <formula>1050</formula>
      <formula>1700</formula>
    </cfRule>
    <cfRule type="aboveAverage" dxfId="1" priority="3" aboveAverage="0" stdDev="1"/>
  </conditionalFormatting>
  <conditionalFormatting sqref="A2:B12 A15:B17 B13:B14">
    <cfRule type="cellIs" dxfId="0" priority="1" operator="between">
      <formula>1050</formula>
      <formula>1700</formula>
    </cfRule>
  </conditionalFormatting>
  <pageMargins left="0.7" right="0.7" top="0.75" bottom="0.75" header="0.3" footer="0.3"/>
  <pageSetup paperSize="9" orientation="portrait" horizontalDpi="0" verticalDpi="0" copies="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L27"/>
  <sheetViews>
    <sheetView workbookViewId="0">
      <selection activeCell="H19" sqref="H19"/>
    </sheetView>
  </sheetViews>
  <sheetFormatPr baseColWidth="10" defaultRowHeight="15" x14ac:dyDescent="0.25"/>
  <cols>
    <col min="1" max="1" width="22.85546875" bestFit="1" customWidth="1"/>
    <col min="2" max="2" width="13" bestFit="1" customWidth="1"/>
    <col min="3" max="3" width="13.28515625" customWidth="1"/>
    <col min="8" max="8" width="26.5703125" bestFit="1" customWidth="1"/>
    <col min="9" max="9" width="12" bestFit="1" customWidth="1"/>
  </cols>
  <sheetData>
    <row r="1" spans="1:12" x14ac:dyDescent="0.25">
      <c r="A1" t="s">
        <v>128</v>
      </c>
    </row>
    <row r="2" spans="1:12" x14ac:dyDescent="0.25">
      <c r="B2">
        <v>2017</v>
      </c>
      <c r="C2">
        <v>2018</v>
      </c>
      <c r="D2" t="s">
        <v>129</v>
      </c>
      <c r="I2" s="114"/>
      <c r="J2" s="138">
        <v>43101</v>
      </c>
      <c r="K2" s="2"/>
      <c r="L2" s="2"/>
    </row>
    <row r="3" spans="1:12" x14ac:dyDescent="0.25">
      <c r="A3" t="s">
        <v>10</v>
      </c>
      <c r="B3" s="65">
        <v>22290.09</v>
      </c>
      <c r="C3" s="22">
        <f>Totaux!BB2</f>
        <v>37295.000000000007</v>
      </c>
      <c r="D3" s="66">
        <f>(C3-B3)/B3</f>
        <v>0.67316507021730321</v>
      </c>
      <c r="I3" s="21" t="s">
        <v>232</v>
      </c>
      <c r="J3" s="55">
        <f ca="1">TODAY()</f>
        <v>43462</v>
      </c>
      <c r="K3" s="65"/>
      <c r="L3" s="66"/>
    </row>
    <row r="4" spans="1:12" x14ac:dyDescent="0.25">
      <c r="A4" t="s">
        <v>11</v>
      </c>
      <c r="B4" s="65">
        <v>9292.68</v>
      </c>
      <c r="C4" s="22">
        <f>Totaux!BB3</f>
        <v>5142.6200000000008</v>
      </c>
      <c r="D4" s="66">
        <f t="shared" ref="D4:D24" si="0">(C4-B4)/B4</f>
        <v>-0.44659452386179221</v>
      </c>
      <c r="H4" s="21" t="s">
        <v>233</v>
      </c>
      <c r="J4" s="139">
        <f ca="1">NETWORKDAYS(J2,J3)</f>
        <v>260</v>
      </c>
      <c r="K4" s="65"/>
      <c r="L4" s="66"/>
    </row>
    <row r="5" spans="1:12" x14ac:dyDescent="0.25">
      <c r="A5" t="s">
        <v>12</v>
      </c>
      <c r="B5" s="65">
        <v>16531.580000000002</v>
      </c>
      <c r="C5" s="65">
        <f>Totaux!BB4</f>
        <v>22847.64</v>
      </c>
      <c r="D5" s="66">
        <f t="shared" si="0"/>
        <v>0.38206027494044714</v>
      </c>
      <c r="I5" s="21"/>
      <c r="J5" s="65"/>
      <c r="K5" s="65"/>
      <c r="L5" s="66"/>
    </row>
    <row r="6" spans="1:12" x14ac:dyDescent="0.25">
      <c r="A6" t="s">
        <v>13</v>
      </c>
      <c r="B6" s="65">
        <v>12565.38</v>
      </c>
      <c r="C6" s="65">
        <f>Totaux!BB5</f>
        <v>26657.54</v>
      </c>
      <c r="D6" s="66">
        <f t="shared" si="0"/>
        <v>1.1215068704647215</v>
      </c>
      <c r="I6" s="21"/>
      <c r="J6" s="65"/>
      <c r="K6" s="65"/>
      <c r="L6" s="66"/>
    </row>
    <row r="7" spans="1:12" x14ac:dyDescent="0.25">
      <c r="A7" t="s">
        <v>14</v>
      </c>
      <c r="B7" s="65">
        <v>2412</v>
      </c>
      <c r="C7" s="65">
        <f>Totaux!BB6</f>
        <v>3181.75</v>
      </c>
      <c r="D7" s="66">
        <f t="shared" si="0"/>
        <v>0.31913349917081263</v>
      </c>
      <c r="H7" t="s">
        <v>234</v>
      </c>
      <c r="I7" s="21">
        <f>C27</f>
        <v>71726.640000000014</v>
      </c>
      <c r="J7" s="65"/>
      <c r="K7" s="65"/>
      <c r="L7" s="66"/>
    </row>
    <row r="8" spans="1:12" x14ac:dyDescent="0.25">
      <c r="A8" t="s">
        <v>15</v>
      </c>
      <c r="B8" s="65">
        <v>9351.61</v>
      </c>
      <c r="C8" s="65">
        <f>Totaux!BB7</f>
        <v>16817.73</v>
      </c>
      <c r="D8" s="66">
        <f t="shared" si="0"/>
        <v>0.79837803330121748</v>
      </c>
      <c r="I8" s="21"/>
      <c r="J8" s="65"/>
      <c r="K8" s="65"/>
      <c r="L8" s="66"/>
    </row>
    <row r="9" spans="1:12" x14ac:dyDescent="0.25">
      <c r="A9" s="64" t="s">
        <v>16</v>
      </c>
      <c r="B9" s="65">
        <v>4229.25</v>
      </c>
      <c r="C9" s="65">
        <f>Totaux!BB8</f>
        <v>0</v>
      </c>
      <c r="D9" s="66">
        <f t="shared" si="0"/>
        <v>-1</v>
      </c>
      <c r="H9" s="64" t="s">
        <v>235</v>
      </c>
      <c r="I9" s="21">
        <f ca="1">I7/J4</f>
        <v>275.87169230769234</v>
      </c>
      <c r="J9" s="65"/>
      <c r="K9" s="65"/>
      <c r="L9" s="66"/>
    </row>
    <row r="10" spans="1:12" x14ac:dyDescent="0.25">
      <c r="A10" t="s">
        <v>17</v>
      </c>
      <c r="B10" s="65">
        <v>4864.38</v>
      </c>
      <c r="C10" s="65">
        <f>Totaux!BB9</f>
        <v>348.15</v>
      </c>
      <c r="D10" s="66">
        <f t="shared" si="0"/>
        <v>-0.92842870006043943</v>
      </c>
      <c r="I10" s="21"/>
      <c r="J10" s="65"/>
      <c r="K10" s="65"/>
      <c r="L10" s="66"/>
    </row>
    <row r="11" spans="1:12" x14ac:dyDescent="0.25">
      <c r="A11" t="s">
        <v>18</v>
      </c>
      <c r="B11" s="65">
        <v>3222.02</v>
      </c>
      <c r="C11" s="65">
        <f>Totaux!BB10</f>
        <v>3444.4500000000003</v>
      </c>
      <c r="D11" s="66">
        <f t="shared" si="0"/>
        <v>6.9034332499487996E-2</v>
      </c>
      <c r="I11" s="21"/>
      <c r="J11" s="65"/>
      <c r="K11" s="65"/>
      <c r="L11" s="66"/>
    </row>
    <row r="12" spans="1:12" x14ac:dyDescent="0.25">
      <c r="A12" t="s">
        <v>19</v>
      </c>
      <c r="B12" s="65">
        <v>15284.86</v>
      </c>
      <c r="C12" s="65">
        <f>Totaux!BB11</f>
        <v>24274.65</v>
      </c>
      <c r="D12" s="66">
        <f t="shared" si="0"/>
        <v>0.58814997324149521</v>
      </c>
      <c r="I12" s="21"/>
      <c r="J12" s="65"/>
      <c r="K12" s="65"/>
      <c r="L12" s="66"/>
    </row>
    <row r="13" spans="1:12" x14ac:dyDescent="0.25">
      <c r="A13" t="s">
        <v>20</v>
      </c>
      <c r="B13" s="65">
        <v>3912.1</v>
      </c>
      <c r="C13" s="65">
        <f>Totaux!BB12</f>
        <v>5418.0000000000009</v>
      </c>
      <c r="D13" s="66">
        <f t="shared" si="0"/>
        <v>0.38493392295697987</v>
      </c>
      <c r="I13" s="21"/>
      <c r="J13" s="65"/>
      <c r="K13" s="65"/>
      <c r="L13" s="66"/>
    </row>
    <row r="14" spans="1:12" x14ac:dyDescent="0.25">
      <c r="A14" t="s">
        <v>21</v>
      </c>
      <c r="B14" s="65">
        <v>10451.44</v>
      </c>
      <c r="C14" s="65">
        <f>Totaux!BB13</f>
        <v>17329.939999999999</v>
      </c>
      <c r="D14" s="66">
        <f t="shared" si="0"/>
        <v>0.65813897415093014</v>
      </c>
      <c r="I14" s="21"/>
      <c r="J14" s="65"/>
      <c r="K14" s="65"/>
      <c r="L14" s="66"/>
    </row>
    <row r="15" spans="1:12" x14ac:dyDescent="0.25">
      <c r="A15" t="s">
        <v>22</v>
      </c>
      <c r="B15" s="65">
        <v>10106.049999999999</v>
      </c>
      <c r="C15" s="65">
        <f>Totaux!BB14</f>
        <v>15659.760000000002</v>
      </c>
      <c r="D15" s="66">
        <f t="shared" si="0"/>
        <v>0.54954309547251434</v>
      </c>
      <c r="I15" s="21"/>
      <c r="J15" s="65"/>
      <c r="K15" s="65"/>
      <c r="L15" s="66"/>
    </row>
    <row r="16" spans="1:12" x14ac:dyDescent="0.25">
      <c r="A16" t="s">
        <v>23</v>
      </c>
      <c r="B16" s="65">
        <v>10621.47</v>
      </c>
      <c r="C16" s="65">
        <f>Totaux!BB15</f>
        <v>18108.679999999997</v>
      </c>
      <c r="D16" s="66">
        <f t="shared" si="0"/>
        <v>0.70491278514179279</v>
      </c>
      <c r="I16" s="21"/>
      <c r="J16" s="65"/>
      <c r="K16" s="65"/>
      <c r="L16" s="66"/>
    </row>
    <row r="17" spans="1:12" x14ac:dyDescent="0.25">
      <c r="A17" t="s">
        <v>24</v>
      </c>
      <c r="B17" s="65">
        <v>9954.7999999999993</v>
      </c>
      <c r="C17" s="65">
        <f>Totaux!BB16</f>
        <v>23266.129999999997</v>
      </c>
      <c r="D17" s="66">
        <f t="shared" si="0"/>
        <v>1.3371770402218024</v>
      </c>
      <c r="I17" s="21"/>
      <c r="J17" s="65"/>
      <c r="K17" s="65"/>
      <c r="L17" s="66"/>
    </row>
    <row r="18" spans="1:12" x14ac:dyDescent="0.25">
      <c r="A18" t="s">
        <v>198</v>
      </c>
      <c r="C18" s="65">
        <f>Totaux!BB17</f>
        <v>4650.6900000000005</v>
      </c>
      <c r="D18" s="66"/>
      <c r="I18" s="21"/>
      <c r="J18" s="65"/>
      <c r="K18" s="65"/>
      <c r="L18" s="66"/>
    </row>
    <row r="19" spans="1:12" x14ac:dyDescent="0.25">
      <c r="A19">
        <v>0</v>
      </c>
      <c r="C19" s="65">
        <f>Totaux!BB18</f>
        <v>3339.2</v>
      </c>
      <c r="D19" s="66"/>
      <c r="I19" s="21"/>
      <c r="J19" s="65"/>
      <c r="K19" s="65"/>
      <c r="L19" s="66"/>
    </row>
    <row r="20" spans="1:12" x14ac:dyDescent="0.25">
      <c r="A20">
        <v>0</v>
      </c>
      <c r="C20" s="65">
        <f>Totaux!BB19</f>
        <v>1096</v>
      </c>
      <c r="D20" s="66"/>
      <c r="I20" s="21"/>
      <c r="J20" s="65"/>
      <c r="K20" s="65"/>
      <c r="L20" s="66"/>
    </row>
    <row r="21" spans="1:12" x14ac:dyDescent="0.25">
      <c r="A21" t="s">
        <v>267</v>
      </c>
      <c r="B21">
        <v>20057.12</v>
      </c>
      <c r="C21" s="65">
        <f>Totaux!BB20</f>
        <v>1613.5</v>
      </c>
      <c r="D21" s="66"/>
      <c r="I21" s="21"/>
      <c r="J21" s="65"/>
      <c r="K21" s="65"/>
      <c r="L21" s="66"/>
    </row>
    <row r="22" spans="1:12" x14ac:dyDescent="0.25">
      <c r="A22" t="s">
        <v>64</v>
      </c>
      <c r="B22">
        <v>6176.6</v>
      </c>
      <c r="C22" s="65">
        <f>Totaux!BB21</f>
        <v>12558.64</v>
      </c>
      <c r="D22" s="66">
        <f t="shared" si="0"/>
        <v>1.0332610173882069</v>
      </c>
      <c r="I22" s="21"/>
      <c r="J22" s="65"/>
      <c r="K22" s="65"/>
      <c r="L22" s="66"/>
    </row>
    <row r="23" spans="1:12" x14ac:dyDescent="0.25">
      <c r="D23" s="66"/>
      <c r="I23" s="21"/>
      <c r="L23" s="66"/>
    </row>
    <row r="24" spans="1:12" x14ac:dyDescent="0.25">
      <c r="B24" s="65">
        <f>SUM(B3:B22)</f>
        <v>171323.43</v>
      </c>
      <c r="C24" s="65">
        <f>SUM(C3:C22)</f>
        <v>243050.07</v>
      </c>
      <c r="D24" s="66">
        <f t="shared" si="0"/>
        <v>0.41866217597908245</v>
      </c>
      <c r="I24" s="115"/>
      <c r="J24" s="115"/>
      <c r="K24" s="65"/>
      <c r="L24" s="66"/>
    </row>
    <row r="27" spans="1:12" ht="21" x14ac:dyDescent="0.35">
      <c r="A27" s="67" t="s">
        <v>273</v>
      </c>
      <c r="C27" s="65">
        <f>C24-B24</f>
        <v>71726.640000000014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B2:G24"/>
  <sheetViews>
    <sheetView workbookViewId="0">
      <selection activeCell="D11" sqref="D11"/>
    </sheetView>
  </sheetViews>
  <sheetFormatPr baseColWidth="10" defaultRowHeight="15" x14ac:dyDescent="0.25"/>
  <cols>
    <col min="2" max="2" width="19.7109375" customWidth="1"/>
    <col min="3" max="3" width="19.5703125" bestFit="1" customWidth="1"/>
    <col min="4" max="4" width="14" customWidth="1"/>
    <col min="5" max="5" width="9.42578125" customWidth="1"/>
  </cols>
  <sheetData>
    <row r="2" spans="2:7" ht="27.75" x14ac:dyDescent="0.5">
      <c r="B2" s="68" t="s">
        <v>131</v>
      </c>
      <c r="C2" s="68"/>
      <c r="D2" s="68"/>
      <c r="E2" s="68">
        <f ca="1">_xlfn.ISOWEEKNUM(TODAY())</f>
        <v>52</v>
      </c>
    </row>
    <row r="5" spans="2:7" ht="21" x14ac:dyDescent="0.35">
      <c r="B5" s="77" t="s">
        <v>50</v>
      </c>
      <c r="C5" s="78">
        <v>10489.57</v>
      </c>
    </row>
    <row r="6" spans="2:7" ht="21" x14ac:dyDescent="0.35">
      <c r="B6" s="77" t="s">
        <v>51</v>
      </c>
      <c r="C6" s="78">
        <v>8922.8359999999993</v>
      </c>
    </row>
    <row r="7" spans="2:7" ht="21" x14ac:dyDescent="0.35">
      <c r="B7" s="77"/>
      <c r="C7" s="78"/>
      <c r="G7" s="65"/>
    </row>
    <row r="8" spans="2:7" ht="21" x14ac:dyDescent="0.35">
      <c r="B8" s="77" t="s">
        <v>52</v>
      </c>
      <c r="C8" s="132">
        <v>1566.7340000000004</v>
      </c>
      <c r="D8" s="38" t="s">
        <v>321</v>
      </c>
    </row>
    <row r="9" spans="2:7" ht="21" x14ac:dyDescent="0.35">
      <c r="B9" s="77" t="s">
        <v>53</v>
      </c>
      <c r="C9" s="133">
        <v>0.1755869994696754</v>
      </c>
      <c r="D9" s="38" t="s">
        <v>322</v>
      </c>
    </row>
    <row r="11" spans="2:7" ht="15.75" thickBot="1" x14ac:dyDescent="0.3"/>
    <row r="12" spans="2:7" ht="24" thickBot="1" x14ac:dyDescent="0.4">
      <c r="B12" t="s">
        <v>276</v>
      </c>
      <c r="C12" s="172">
        <v>11449.32</v>
      </c>
    </row>
    <row r="14" spans="2:7" ht="15.75" x14ac:dyDescent="0.25">
      <c r="B14" t="s">
        <v>300</v>
      </c>
      <c r="C14" s="173">
        <v>6391.58</v>
      </c>
      <c r="D14" t="s">
        <v>268</v>
      </c>
    </row>
    <row r="16" spans="2:7" ht="21" x14ac:dyDescent="0.35">
      <c r="B16" s="74" t="s">
        <v>46</v>
      </c>
      <c r="C16">
        <f>C12-C14</f>
        <v>5057.74</v>
      </c>
    </row>
    <row r="18" spans="2:6" x14ac:dyDescent="0.25">
      <c r="C18" t="s">
        <v>134</v>
      </c>
    </row>
    <row r="19" spans="2:6" ht="27.75" x14ac:dyDescent="0.5">
      <c r="B19" s="68"/>
    </row>
    <row r="20" spans="2:6" ht="25.5" x14ac:dyDescent="0.35">
      <c r="B20" s="90"/>
    </row>
    <row r="21" spans="2:6" x14ac:dyDescent="0.25">
      <c r="B21" s="85"/>
      <c r="C21" s="85"/>
    </row>
    <row r="24" spans="2:6" ht="46.5" x14ac:dyDescent="0.7">
      <c r="E24" s="175">
        <f ca="1">("25/12/2018"-TODAY())</f>
        <v>-3</v>
      </c>
      <c r="F24" s="174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58</vt:i4>
      </vt:variant>
      <vt:variant>
        <vt:lpstr>Plages nommées</vt:lpstr>
      </vt:variant>
      <vt:variant>
        <vt:i4>1</vt:i4>
      </vt:variant>
    </vt:vector>
  </HeadingPairs>
  <TitlesOfParts>
    <vt:vector size="59" baseType="lpstr">
      <vt:lpstr>Sem01</vt:lpstr>
      <vt:lpstr>Sem 02</vt:lpstr>
      <vt:lpstr>Sem 03</vt:lpstr>
      <vt:lpstr>Sem 04</vt:lpstr>
      <vt:lpstr>Sem 05</vt:lpstr>
      <vt:lpstr>Sem 06</vt:lpstr>
      <vt:lpstr>Sem 07</vt:lpstr>
      <vt:lpstr>Sem 08</vt:lpstr>
      <vt:lpstr>Sem 09</vt:lpstr>
      <vt:lpstr>Sem 10</vt:lpstr>
      <vt:lpstr>Sem 11</vt:lpstr>
      <vt:lpstr>Sem 12</vt:lpstr>
      <vt:lpstr>Sem 13</vt:lpstr>
      <vt:lpstr>Sem 14</vt:lpstr>
      <vt:lpstr>Sem 15</vt:lpstr>
      <vt:lpstr>Sem 16</vt:lpstr>
      <vt:lpstr>Sem 17</vt:lpstr>
      <vt:lpstr>Sem 18</vt:lpstr>
      <vt:lpstr>FRAIS</vt:lpstr>
      <vt:lpstr>Nouv FRAIS</vt:lpstr>
      <vt:lpstr>Sem 19</vt:lpstr>
      <vt:lpstr>Sem 20</vt:lpstr>
      <vt:lpstr>Sem 21</vt:lpstr>
      <vt:lpstr>Sem 22</vt:lpstr>
      <vt:lpstr>Sem 23</vt:lpstr>
      <vt:lpstr>Sem 24</vt:lpstr>
      <vt:lpstr>Sem 25</vt:lpstr>
      <vt:lpstr>Sem 26</vt:lpstr>
      <vt:lpstr>Sem 27</vt:lpstr>
      <vt:lpstr>Sem 28</vt:lpstr>
      <vt:lpstr>Sem 29</vt:lpstr>
      <vt:lpstr>Sem 30</vt:lpstr>
      <vt:lpstr>Sem 31</vt:lpstr>
      <vt:lpstr>Sem 32</vt:lpstr>
      <vt:lpstr>Sem 33</vt:lpstr>
      <vt:lpstr>Sem 34</vt:lpstr>
      <vt:lpstr>Sem 35</vt:lpstr>
      <vt:lpstr>Sem 36</vt:lpstr>
      <vt:lpstr>Sem 37</vt:lpstr>
      <vt:lpstr>Sem 38</vt:lpstr>
      <vt:lpstr>Sem 39</vt:lpstr>
      <vt:lpstr>Sem 40</vt:lpstr>
      <vt:lpstr>Sem 41</vt:lpstr>
      <vt:lpstr>Sem 42</vt:lpstr>
      <vt:lpstr>Sem 43</vt:lpstr>
      <vt:lpstr>Sem 44</vt:lpstr>
      <vt:lpstr>Sem 45</vt:lpstr>
      <vt:lpstr>Sem 46</vt:lpstr>
      <vt:lpstr>Sem 47</vt:lpstr>
      <vt:lpstr>Sem 48</vt:lpstr>
      <vt:lpstr>Sem 49</vt:lpstr>
      <vt:lpstr>Sem 50</vt:lpstr>
      <vt:lpstr>Sem 51</vt:lpstr>
      <vt:lpstr>Sem 52</vt:lpstr>
      <vt:lpstr>Totaux</vt:lpstr>
      <vt:lpstr>Classement</vt:lpstr>
      <vt:lpstr>Comparaison</vt:lpstr>
      <vt:lpstr>Semaine</vt:lpstr>
      <vt:lpstr>'Sem 17'!Zone_d_impression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Dany</cp:lastModifiedBy>
  <cp:lastPrinted>2018-12-26T15:30:38Z</cp:lastPrinted>
  <dcterms:created xsi:type="dcterms:W3CDTF">2018-01-03T19:44:38Z</dcterms:created>
  <dcterms:modified xsi:type="dcterms:W3CDTF">2018-12-28T16:03:55Z</dcterms:modified>
</cp:coreProperties>
</file>