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xr:revisionPtr revIDLastSave="0" documentId="8_{B13D1596-D4B3-4421-8D93-B8F39472B5EB}" xr6:coauthVersionLast="47" xr6:coauthVersionMax="47" xr10:uidLastSave="{00000000-0000-0000-0000-000000000000}"/>
  <bookViews>
    <workbookView xWindow="-120" yWindow="-120" windowWidth="29040" windowHeight="15840" xr2:uid="{CE571C8C-7530-40CD-BDD1-84683AF5825E}"/>
  </bookViews>
  <sheets>
    <sheet name="EDF" sheetId="1" r:id="rId1"/>
    <sheet name="Tarifs elect" sheetId="2" r:id="rId2"/>
  </sheets>
  <definedNames>
    <definedName name="_xlnm.Print_Area" localSheetId="0">EDF!$A$1:$L$125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2" l="1"/>
  <c r="D23" i="2"/>
  <c r="F22" i="2"/>
  <c r="D22" i="2"/>
  <c r="F21" i="2"/>
  <c r="D21" i="2"/>
  <c r="F20" i="2"/>
  <c r="D20" i="2"/>
  <c r="F19" i="2"/>
  <c r="D19" i="2"/>
  <c r="F18" i="2"/>
  <c r="D18" i="2"/>
  <c r="F17" i="2"/>
  <c r="D17" i="2"/>
  <c r="F16" i="2"/>
  <c r="D16" i="2"/>
  <c r="F15" i="2"/>
  <c r="D15" i="2"/>
  <c r="F14" i="2"/>
  <c r="D14" i="2"/>
  <c r="F13" i="2"/>
  <c r="D13" i="2"/>
  <c r="F12" i="2"/>
  <c r="D12" i="2"/>
  <c r="F11" i="2"/>
  <c r="D11" i="2"/>
  <c r="F10" i="2"/>
  <c r="D10" i="2"/>
  <c r="F9" i="2"/>
  <c r="D9" i="2"/>
  <c r="F8" i="2"/>
  <c r="D8" i="2"/>
  <c r="F7" i="2"/>
  <c r="D7" i="2"/>
  <c r="F258" i="1"/>
  <c r="D258" i="1"/>
  <c r="E258" i="1" s="1"/>
  <c r="H258" i="1" s="1"/>
  <c r="B258" i="1"/>
  <c r="H257" i="1"/>
  <c r="E257" i="1"/>
  <c r="D257" i="1"/>
  <c r="B257" i="1"/>
  <c r="F257" i="1" s="1"/>
  <c r="F256" i="1"/>
  <c r="D256" i="1"/>
  <c r="E256" i="1" s="1"/>
  <c r="B256" i="1"/>
  <c r="E255" i="1"/>
  <c r="H255" i="1" s="1"/>
  <c r="D255" i="1"/>
  <c r="B255" i="1"/>
  <c r="F255" i="1" s="1"/>
  <c r="F254" i="1"/>
  <c r="D254" i="1"/>
  <c r="E254" i="1" s="1"/>
  <c r="H254" i="1" s="1"/>
  <c r="B254" i="1"/>
  <c r="H253" i="1"/>
  <c r="E253" i="1"/>
  <c r="D253" i="1"/>
  <c r="B253" i="1"/>
  <c r="F253" i="1" s="1"/>
  <c r="F252" i="1"/>
  <c r="D252" i="1"/>
  <c r="E252" i="1" s="1"/>
  <c r="B252" i="1"/>
  <c r="E251" i="1"/>
  <c r="H251" i="1" s="1"/>
  <c r="D251" i="1"/>
  <c r="B251" i="1"/>
  <c r="F251" i="1" s="1"/>
  <c r="F250" i="1"/>
  <c r="D250" i="1"/>
  <c r="E250" i="1" s="1"/>
  <c r="H250" i="1" s="1"/>
  <c r="B250" i="1"/>
  <c r="H249" i="1"/>
  <c r="E249" i="1"/>
  <c r="D249" i="1"/>
  <c r="B249" i="1"/>
  <c r="F249" i="1" s="1"/>
  <c r="F248" i="1"/>
  <c r="D248" i="1"/>
  <c r="E248" i="1" s="1"/>
  <c r="B248" i="1"/>
  <c r="F247" i="1"/>
  <c r="D247" i="1"/>
  <c r="E247" i="1" s="1"/>
  <c r="H247" i="1" s="1"/>
  <c r="B247" i="1"/>
  <c r="D246" i="1"/>
  <c r="E246" i="1" s="1"/>
  <c r="B246" i="1"/>
  <c r="D245" i="1"/>
  <c r="E245" i="1" s="1"/>
  <c r="B245" i="1"/>
  <c r="D244" i="1"/>
  <c r="E244" i="1" s="1"/>
  <c r="B244" i="1"/>
  <c r="D243" i="1"/>
  <c r="E243" i="1" s="1"/>
  <c r="B243" i="1"/>
  <c r="D242" i="1"/>
  <c r="E242" i="1" s="1"/>
  <c r="B242" i="1"/>
  <c r="D241" i="1"/>
  <c r="E241" i="1" s="1"/>
  <c r="B241" i="1"/>
  <c r="E240" i="1"/>
  <c r="D240" i="1"/>
  <c r="B240" i="1"/>
  <c r="E239" i="1"/>
  <c r="D239" i="1"/>
  <c r="B239" i="1"/>
  <c r="F238" i="1"/>
  <c r="D238" i="1"/>
  <c r="E238" i="1" s="1"/>
  <c r="B238" i="1"/>
  <c r="E237" i="1"/>
  <c r="D237" i="1"/>
  <c r="B237" i="1"/>
  <c r="D236" i="1"/>
  <c r="E236" i="1" s="1"/>
  <c r="B236" i="1"/>
  <c r="E235" i="1"/>
  <c r="D235" i="1"/>
  <c r="B235" i="1"/>
  <c r="F234" i="1"/>
  <c r="D234" i="1"/>
  <c r="E234" i="1" s="1"/>
  <c r="B234" i="1"/>
  <c r="E233" i="1"/>
  <c r="D233" i="1"/>
  <c r="B233" i="1"/>
  <c r="D232" i="1"/>
  <c r="E232" i="1" s="1"/>
  <c r="B232" i="1"/>
  <c r="N231" i="1"/>
  <c r="D231" i="1"/>
  <c r="E231" i="1" s="1"/>
  <c r="B231" i="1"/>
  <c r="K228" i="1"/>
  <c r="G228" i="1"/>
  <c r="K227" i="1"/>
  <c r="G227" i="1"/>
  <c r="G226" i="1"/>
  <c r="J225" i="1"/>
  <c r="K222" i="1"/>
  <c r="H222" i="1"/>
  <c r="F222" i="1"/>
  <c r="G222" i="1" s="1"/>
  <c r="C222" i="1"/>
  <c r="D222" i="1" s="1"/>
  <c r="J222" i="1" s="1"/>
  <c r="L222" i="1" s="1"/>
  <c r="K221" i="1"/>
  <c r="H221" i="1"/>
  <c r="F221" i="1"/>
  <c r="G221" i="1" s="1"/>
  <c r="C221" i="1"/>
  <c r="D221" i="1" s="1"/>
  <c r="J221" i="1" s="1"/>
  <c r="L221" i="1" s="1"/>
  <c r="K220" i="1"/>
  <c r="H220" i="1"/>
  <c r="F220" i="1"/>
  <c r="G220" i="1" s="1"/>
  <c r="C220" i="1"/>
  <c r="D220" i="1" s="1"/>
  <c r="J220" i="1" s="1"/>
  <c r="L220" i="1" s="1"/>
  <c r="K219" i="1"/>
  <c r="H219" i="1"/>
  <c r="F219" i="1"/>
  <c r="G219" i="1" s="1"/>
  <c r="C219" i="1"/>
  <c r="D219" i="1" s="1"/>
  <c r="J219" i="1" s="1"/>
  <c r="L219" i="1" s="1"/>
  <c r="K218" i="1"/>
  <c r="H218" i="1"/>
  <c r="F218" i="1"/>
  <c r="G218" i="1" s="1"/>
  <c r="C218" i="1"/>
  <c r="D218" i="1" s="1"/>
  <c r="J218" i="1" s="1"/>
  <c r="L218" i="1" s="1"/>
  <c r="J217" i="1"/>
  <c r="K216" i="1"/>
  <c r="H216" i="1"/>
  <c r="F216" i="1"/>
  <c r="G216" i="1" s="1"/>
  <c r="C216" i="1"/>
  <c r="D216" i="1" s="1"/>
  <c r="J216" i="1" s="1"/>
  <c r="L216" i="1" s="1"/>
  <c r="K215" i="1"/>
  <c r="H215" i="1"/>
  <c r="F215" i="1"/>
  <c r="G215" i="1" s="1"/>
  <c r="C215" i="1"/>
  <c r="D215" i="1" s="1"/>
  <c r="J215" i="1" s="1"/>
  <c r="L215" i="1" s="1"/>
  <c r="K214" i="1"/>
  <c r="H214" i="1"/>
  <c r="F214" i="1"/>
  <c r="G214" i="1" s="1"/>
  <c r="C214" i="1"/>
  <c r="D214" i="1" s="1"/>
  <c r="J214" i="1" s="1"/>
  <c r="L214" i="1" s="1"/>
  <c r="K213" i="1"/>
  <c r="H213" i="1"/>
  <c r="F213" i="1"/>
  <c r="G213" i="1" s="1"/>
  <c r="C213" i="1"/>
  <c r="D213" i="1" s="1"/>
  <c r="J213" i="1" s="1"/>
  <c r="L213" i="1" s="1"/>
  <c r="K212" i="1"/>
  <c r="H212" i="1"/>
  <c r="F212" i="1"/>
  <c r="G212" i="1" s="1"/>
  <c r="C212" i="1"/>
  <c r="D212" i="1" s="1"/>
  <c r="K211" i="1"/>
  <c r="H211" i="1" s="1"/>
  <c r="F211" i="1"/>
  <c r="G211" i="1" s="1"/>
  <c r="C211" i="1"/>
  <c r="D211" i="1" s="1"/>
  <c r="K210" i="1"/>
  <c r="H210" i="1" s="1"/>
  <c r="F210" i="1"/>
  <c r="G210" i="1" s="1"/>
  <c r="C210" i="1"/>
  <c r="D210" i="1" s="1"/>
  <c r="K209" i="1"/>
  <c r="H209" i="1" s="1"/>
  <c r="F209" i="1"/>
  <c r="G209" i="1" s="1"/>
  <c r="C209" i="1"/>
  <c r="D209" i="1" s="1"/>
  <c r="K208" i="1"/>
  <c r="H208" i="1" s="1"/>
  <c r="F208" i="1"/>
  <c r="G208" i="1" s="1"/>
  <c r="C208" i="1"/>
  <c r="D208" i="1" s="1"/>
  <c r="K207" i="1"/>
  <c r="H207" i="1" s="1"/>
  <c r="F207" i="1"/>
  <c r="G207" i="1" s="1"/>
  <c r="C207" i="1"/>
  <c r="D207" i="1" s="1"/>
  <c r="K206" i="1"/>
  <c r="H206" i="1" s="1"/>
  <c r="F206" i="1"/>
  <c r="G206" i="1" s="1"/>
  <c r="C206" i="1"/>
  <c r="D206" i="1" s="1"/>
  <c r="K205" i="1"/>
  <c r="H205" i="1" s="1"/>
  <c r="F205" i="1"/>
  <c r="G205" i="1" s="1"/>
  <c r="C205" i="1"/>
  <c r="D205" i="1" s="1"/>
  <c r="K204" i="1"/>
  <c r="H204" i="1" s="1"/>
  <c r="F204" i="1"/>
  <c r="G204" i="1" s="1"/>
  <c r="C204" i="1"/>
  <c r="D204" i="1" s="1"/>
  <c r="K203" i="1"/>
  <c r="H203" i="1" s="1"/>
  <c r="F203" i="1"/>
  <c r="G203" i="1" s="1"/>
  <c r="C203" i="1"/>
  <c r="D203" i="1" s="1"/>
  <c r="K202" i="1"/>
  <c r="H202" i="1" s="1"/>
  <c r="F202" i="1"/>
  <c r="G202" i="1" s="1"/>
  <c r="C202" i="1"/>
  <c r="D202" i="1" s="1"/>
  <c r="P201" i="1"/>
  <c r="K201" i="1"/>
  <c r="H201" i="1"/>
  <c r="G201" i="1"/>
  <c r="F201" i="1"/>
  <c r="D201" i="1"/>
  <c r="J201" i="1" s="1"/>
  <c r="L201" i="1" s="1"/>
  <c r="C201" i="1"/>
  <c r="K200" i="1"/>
  <c r="H200" i="1"/>
  <c r="G200" i="1"/>
  <c r="F200" i="1"/>
  <c r="D200" i="1"/>
  <c r="J200" i="1" s="1"/>
  <c r="L200" i="1" s="1"/>
  <c r="C200" i="1"/>
  <c r="K199" i="1"/>
  <c r="H199" i="1"/>
  <c r="G199" i="1"/>
  <c r="F199" i="1"/>
  <c r="D199" i="1"/>
  <c r="J199" i="1" s="1"/>
  <c r="C199" i="1"/>
  <c r="K198" i="1"/>
  <c r="H198" i="1"/>
  <c r="G198" i="1"/>
  <c r="F198" i="1"/>
  <c r="D198" i="1"/>
  <c r="J198" i="1" s="1"/>
  <c r="L198" i="1" s="1"/>
  <c r="C198" i="1"/>
  <c r="K197" i="1"/>
  <c r="H197" i="1"/>
  <c r="G197" i="1"/>
  <c r="F197" i="1"/>
  <c r="D197" i="1"/>
  <c r="J197" i="1" s="1"/>
  <c r="L197" i="1" s="1"/>
  <c r="C197" i="1"/>
  <c r="K196" i="1"/>
  <c r="H196" i="1"/>
  <c r="G196" i="1"/>
  <c r="F196" i="1"/>
  <c r="D196" i="1"/>
  <c r="J196" i="1" s="1"/>
  <c r="L196" i="1" s="1"/>
  <c r="C196" i="1"/>
  <c r="K195" i="1"/>
  <c r="H195" i="1"/>
  <c r="G195" i="1"/>
  <c r="F195" i="1"/>
  <c r="D195" i="1"/>
  <c r="J195" i="1" s="1"/>
  <c r="L195" i="1" s="1"/>
  <c r="C195" i="1"/>
  <c r="K194" i="1"/>
  <c r="H194" i="1"/>
  <c r="G194" i="1"/>
  <c r="F194" i="1"/>
  <c r="D194" i="1"/>
  <c r="J194" i="1" s="1"/>
  <c r="L194" i="1" s="1"/>
  <c r="C194" i="1"/>
  <c r="K193" i="1"/>
  <c r="H193" i="1"/>
  <c r="G193" i="1"/>
  <c r="J193" i="1" s="1"/>
  <c r="L193" i="1" s="1"/>
  <c r="D193" i="1"/>
  <c r="K192" i="1"/>
  <c r="H192" i="1"/>
  <c r="G192" i="1"/>
  <c r="F192" i="1"/>
  <c r="D192" i="1"/>
  <c r="J192" i="1" s="1"/>
  <c r="L192" i="1" s="1"/>
  <c r="C192" i="1"/>
  <c r="K191" i="1"/>
  <c r="H191" i="1"/>
  <c r="G191" i="1"/>
  <c r="F191" i="1"/>
  <c r="D191" i="1"/>
  <c r="J191" i="1" s="1"/>
  <c r="L191" i="1" s="1"/>
  <c r="C191" i="1"/>
  <c r="K190" i="1"/>
  <c r="H190" i="1" s="1"/>
  <c r="F190" i="1"/>
  <c r="G190" i="1" s="1"/>
  <c r="C190" i="1"/>
  <c r="D190" i="1" s="1"/>
  <c r="K189" i="1"/>
  <c r="H189" i="1" s="1"/>
  <c r="F189" i="1"/>
  <c r="G189" i="1" s="1"/>
  <c r="C189" i="1"/>
  <c r="D189" i="1" s="1"/>
  <c r="K188" i="1"/>
  <c r="H188" i="1" s="1"/>
  <c r="F188" i="1"/>
  <c r="G188" i="1" s="1"/>
  <c r="C188" i="1"/>
  <c r="D188" i="1" s="1"/>
  <c r="K186" i="1"/>
  <c r="H186" i="1"/>
  <c r="F186" i="1"/>
  <c r="G186" i="1" s="1"/>
  <c r="C186" i="1"/>
  <c r="D186" i="1" s="1"/>
  <c r="J186" i="1" s="1"/>
  <c r="L186" i="1" s="1"/>
  <c r="K185" i="1"/>
  <c r="H185" i="1"/>
  <c r="G185" i="1"/>
  <c r="F185" i="1"/>
  <c r="D185" i="1"/>
  <c r="J185" i="1" s="1"/>
  <c r="L185" i="1" s="1"/>
  <c r="C185" i="1"/>
  <c r="K184" i="1"/>
  <c r="H184" i="1"/>
  <c r="G184" i="1"/>
  <c r="F184" i="1"/>
  <c r="D184" i="1"/>
  <c r="J184" i="1" s="1"/>
  <c r="L184" i="1" s="1"/>
  <c r="C184" i="1"/>
  <c r="K183" i="1"/>
  <c r="H183" i="1"/>
  <c r="G183" i="1"/>
  <c r="F183" i="1"/>
  <c r="D183" i="1"/>
  <c r="J183" i="1" s="1"/>
  <c r="L183" i="1" s="1"/>
  <c r="C183" i="1"/>
  <c r="K182" i="1"/>
  <c r="H182" i="1"/>
  <c r="G182" i="1"/>
  <c r="F182" i="1"/>
  <c r="D182" i="1"/>
  <c r="J182" i="1" s="1"/>
  <c r="L182" i="1" s="1"/>
  <c r="C182" i="1"/>
  <c r="K181" i="1"/>
  <c r="H181" i="1"/>
  <c r="G181" i="1"/>
  <c r="F181" i="1"/>
  <c r="D181" i="1"/>
  <c r="J181" i="1" s="1"/>
  <c r="L181" i="1" s="1"/>
  <c r="C181" i="1"/>
  <c r="K180" i="1"/>
  <c r="H180" i="1"/>
  <c r="G180" i="1"/>
  <c r="F180" i="1"/>
  <c r="D180" i="1"/>
  <c r="J180" i="1" s="1"/>
  <c r="L180" i="1" s="1"/>
  <c r="C180" i="1"/>
  <c r="K179" i="1"/>
  <c r="H179" i="1"/>
  <c r="G179" i="1"/>
  <c r="F179" i="1"/>
  <c r="D179" i="1"/>
  <c r="J179" i="1" s="1"/>
  <c r="L179" i="1" s="1"/>
  <c r="C179" i="1"/>
  <c r="K178" i="1"/>
  <c r="H178" i="1"/>
  <c r="G178" i="1"/>
  <c r="F178" i="1"/>
  <c r="D178" i="1"/>
  <c r="J178" i="1" s="1"/>
  <c r="L178" i="1" s="1"/>
  <c r="C178" i="1"/>
  <c r="K177" i="1"/>
  <c r="H177" i="1"/>
  <c r="G177" i="1"/>
  <c r="F177" i="1"/>
  <c r="D177" i="1"/>
  <c r="J177" i="1" s="1"/>
  <c r="L177" i="1" s="1"/>
  <c r="C177" i="1"/>
  <c r="K175" i="1"/>
  <c r="H175" i="1"/>
  <c r="G175" i="1"/>
  <c r="F175" i="1"/>
  <c r="D175" i="1"/>
  <c r="J175" i="1" s="1"/>
  <c r="L175" i="1" s="1"/>
  <c r="C175" i="1"/>
  <c r="K174" i="1"/>
  <c r="H174" i="1"/>
  <c r="G174" i="1"/>
  <c r="F174" i="1"/>
  <c r="D174" i="1"/>
  <c r="J174" i="1" s="1"/>
  <c r="L174" i="1" s="1"/>
  <c r="C174" i="1"/>
  <c r="K173" i="1"/>
  <c r="H173" i="1"/>
  <c r="G173" i="1"/>
  <c r="F173" i="1"/>
  <c r="D173" i="1"/>
  <c r="J173" i="1" s="1"/>
  <c r="L173" i="1" s="1"/>
  <c r="C173" i="1"/>
  <c r="K172" i="1"/>
  <c r="H172" i="1"/>
  <c r="G172" i="1"/>
  <c r="F172" i="1"/>
  <c r="D172" i="1"/>
  <c r="J172" i="1" s="1"/>
  <c r="L172" i="1" s="1"/>
  <c r="C172" i="1"/>
  <c r="K171" i="1"/>
  <c r="H171" i="1"/>
  <c r="G171" i="1"/>
  <c r="F171" i="1"/>
  <c r="D171" i="1"/>
  <c r="J171" i="1" s="1"/>
  <c r="L171" i="1" s="1"/>
  <c r="C171" i="1"/>
  <c r="K170" i="1"/>
  <c r="H170" i="1"/>
  <c r="F170" i="1"/>
  <c r="G170" i="1" s="1"/>
  <c r="C170" i="1"/>
  <c r="D170" i="1" s="1"/>
  <c r="J170" i="1" s="1"/>
  <c r="L170" i="1" s="1"/>
  <c r="K169" i="1"/>
  <c r="H169" i="1"/>
  <c r="F169" i="1"/>
  <c r="G169" i="1" s="1"/>
  <c r="C169" i="1"/>
  <c r="K168" i="1"/>
  <c r="H168" i="1"/>
  <c r="F168" i="1"/>
  <c r="G168" i="1" s="1"/>
  <c r="D168" i="1"/>
  <c r="J168" i="1" s="1"/>
  <c r="L168" i="1" s="1"/>
  <c r="C168" i="1"/>
  <c r="K167" i="1"/>
  <c r="H167" i="1"/>
  <c r="G167" i="1"/>
  <c r="F167" i="1"/>
  <c r="D167" i="1"/>
  <c r="J167" i="1" s="1"/>
  <c r="L167" i="1" s="1"/>
  <c r="C167" i="1"/>
  <c r="K166" i="1"/>
  <c r="H166" i="1"/>
  <c r="G166" i="1"/>
  <c r="F166" i="1"/>
  <c r="D166" i="1"/>
  <c r="J166" i="1" s="1"/>
  <c r="L166" i="1" s="1"/>
  <c r="C166" i="1"/>
  <c r="K165" i="1"/>
  <c r="H165" i="1"/>
  <c r="G165" i="1"/>
  <c r="F165" i="1"/>
  <c r="D165" i="1"/>
  <c r="J165" i="1" s="1"/>
  <c r="L165" i="1" s="1"/>
  <c r="C165" i="1"/>
  <c r="K164" i="1"/>
  <c r="H164" i="1"/>
  <c r="G164" i="1"/>
  <c r="F164" i="1"/>
  <c r="D164" i="1"/>
  <c r="J164" i="1" s="1"/>
  <c r="L164" i="1" s="1"/>
  <c r="C164" i="1"/>
  <c r="K163" i="1"/>
  <c r="H163" i="1"/>
  <c r="G163" i="1"/>
  <c r="F163" i="1"/>
  <c r="D163" i="1"/>
  <c r="J163" i="1" s="1"/>
  <c r="C163" i="1"/>
  <c r="K162" i="1"/>
  <c r="H162" i="1"/>
  <c r="G162" i="1"/>
  <c r="F162" i="1"/>
  <c r="D162" i="1"/>
  <c r="J162" i="1" s="1"/>
  <c r="L162" i="1" s="1"/>
  <c r="C162" i="1"/>
  <c r="K161" i="1"/>
  <c r="H161" i="1"/>
  <c r="G161" i="1"/>
  <c r="F161" i="1"/>
  <c r="D161" i="1"/>
  <c r="J161" i="1" s="1"/>
  <c r="L161" i="1" s="1"/>
  <c r="C161" i="1"/>
  <c r="K160" i="1"/>
  <c r="H160" i="1"/>
  <c r="G160" i="1"/>
  <c r="F160" i="1"/>
  <c r="D160" i="1"/>
  <c r="J160" i="1" s="1"/>
  <c r="L160" i="1" s="1"/>
  <c r="C160" i="1"/>
  <c r="K159" i="1"/>
  <c r="H159" i="1"/>
  <c r="G159" i="1"/>
  <c r="F159" i="1"/>
  <c r="D159" i="1"/>
  <c r="J159" i="1" s="1"/>
  <c r="L159" i="1" s="1"/>
  <c r="C159" i="1"/>
  <c r="K158" i="1"/>
  <c r="H158" i="1"/>
  <c r="G158" i="1"/>
  <c r="F158" i="1"/>
  <c r="D158" i="1"/>
  <c r="J158" i="1" s="1"/>
  <c r="L158" i="1" s="1"/>
  <c r="C158" i="1"/>
  <c r="K157" i="1"/>
  <c r="H157" i="1"/>
  <c r="G157" i="1"/>
  <c r="F157" i="1"/>
  <c r="D157" i="1"/>
  <c r="J157" i="1" s="1"/>
  <c r="L157" i="1" s="1"/>
  <c r="C157" i="1"/>
  <c r="L156" i="1"/>
  <c r="K156" i="1"/>
  <c r="K155" i="1"/>
  <c r="H155" i="1" s="1"/>
  <c r="F155" i="1"/>
  <c r="G155" i="1" s="1"/>
  <c r="C155" i="1"/>
  <c r="D155" i="1" s="1"/>
  <c r="K154" i="1"/>
  <c r="H154" i="1" s="1"/>
  <c r="F154" i="1"/>
  <c r="G154" i="1" s="1"/>
  <c r="C154" i="1"/>
  <c r="D154" i="1" s="1"/>
  <c r="K153" i="1"/>
  <c r="H153" i="1" s="1"/>
  <c r="F153" i="1"/>
  <c r="G153" i="1" s="1"/>
  <c r="C153" i="1"/>
  <c r="D153" i="1" s="1"/>
  <c r="K152" i="1"/>
  <c r="H152" i="1"/>
  <c r="G152" i="1"/>
  <c r="F152" i="1"/>
  <c r="D152" i="1"/>
  <c r="J152" i="1" s="1"/>
  <c r="L152" i="1" s="1"/>
  <c r="C152" i="1"/>
  <c r="K151" i="1"/>
  <c r="H151" i="1"/>
  <c r="F151" i="1"/>
  <c r="G151" i="1" s="1"/>
  <c r="C151" i="1"/>
  <c r="D151" i="1" s="1"/>
  <c r="J151" i="1" s="1"/>
  <c r="L151" i="1" s="1"/>
  <c r="K150" i="1"/>
  <c r="H150" i="1" s="1"/>
  <c r="F150" i="1"/>
  <c r="G150" i="1" s="1"/>
  <c r="C150" i="1"/>
  <c r="D150" i="1" s="1"/>
  <c r="K149" i="1"/>
  <c r="H149" i="1"/>
  <c r="F149" i="1"/>
  <c r="G149" i="1" s="1"/>
  <c r="C149" i="1"/>
  <c r="D149" i="1" s="1"/>
  <c r="J149" i="1" s="1"/>
  <c r="L149" i="1" s="1"/>
  <c r="K148" i="1"/>
  <c r="H148" i="1" s="1"/>
  <c r="F148" i="1"/>
  <c r="G148" i="1" s="1"/>
  <c r="C148" i="1"/>
  <c r="D148" i="1" s="1"/>
  <c r="K147" i="1"/>
  <c r="H147" i="1" s="1"/>
  <c r="F147" i="1"/>
  <c r="G147" i="1" s="1"/>
  <c r="C147" i="1"/>
  <c r="D147" i="1" s="1"/>
  <c r="K146" i="1"/>
  <c r="G146" i="1"/>
  <c r="D146" i="1"/>
  <c r="D156" i="1" s="1"/>
  <c r="P148" i="1" s="1"/>
  <c r="K144" i="1"/>
  <c r="H144" i="1"/>
  <c r="G144" i="1"/>
  <c r="F144" i="1"/>
  <c r="D144" i="1"/>
  <c r="J144" i="1" s="1"/>
  <c r="L144" i="1" s="1"/>
  <c r="C144" i="1"/>
  <c r="K143" i="1"/>
  <c r="H143" i="1"/>
  <c r="G143" i="1"/>
  <c r="F143" i="1"/>
  <c r="D143" i="1"/>
  <c r="J143" i="1" s="1"/>
  <c r="L143" i="1" s="1"/>
  <c r="C143" i="1"/>
  <c r="K142" i="1"/>
  <c r="H142" i="1"/>
  <c r="G142" i="1"/>
  <c r="F142" i="1"/>
  <c r="D142" i="1"/>
  <c r="J142" i="1" s="1"/>
  <c r="L142" i="1" s="1"/>
  <c r="C142" i="1"/>
  <c r="K141" i="1"/>
  <c r="H141" i="1"/>
  <c r="G141" i="1"/>
  <c r="F141" i="1"/>
  <c r="D141" i="1"/>
  <c r="J141" i="1" s="1"/>
  <c r="L141" i="1" s="1"/>
  <c r="C141" i="1"/>
  <c r="K140" i="1"/>
  <c r="H140" i="1"/>
  <c r="G140" i="1"/>
  <c r="F140" i="1"/>
  <c r="D140" i="1"/>
  <c r="J140" i="1" s="1"/>
  <c r="L140" i="1" s="1"/>
  <c r="C140" i="1"/>
  <c r="K139" i="1"/>
  <c r="H139" i="1"/>
  <c r="G139" i="1"/>
  <c r="F139" i="1"/>
  <c r="D139" i="1"/>
  <c r="J139" i="1" s="1"/>
  <c r="L139" i="1" s="1"/>
  <c r="C139" i="1"/>
  <c r="K138" i="1"/>
  <c r="H138" i="1"/>
  <c r="G138" i="1"/>
  <c r="F138" i="1"/>
  <c r="D138" i="1"/>
  <c r="J138" i="1" s="1"/>
  <c r="L138" i="1" s="1"/>
  <c r="C138" i="1"/>
  <c r="K137" i="1"/>
  <c r="H137" i="1"/>
  <c r="G137" i="1"/>
  <c r="F137" i="1"/>
  <c r="D137" i="1"/>
  <c r="J137" i="1" s="1"/>
  <c r="L137" i="1" s="1"/>
  <c r="C137" i="1"/>
  <c r="K136" i="1"/>
  <c r="H136" i="1"/>
  <c r="G136" i="1"/>
  <c r="F136" i="1"/>
  <c r="D136" i="1"/>
  <c r="J136" i="1" s="1"/>
  <c r="L136" i="1" s="1"/>
  <c r="C136" i="1"/>
  <c r="K135" i="1"/>
  <c r="H135" i="1"/>
  <c r="G135" i="1"/>
  <c r="F135" i="1"/>
  <c r="D135" i="1"/>
  <c r="J135" i="1" s="1"/>
  <c r="L135" i="1" s="1"/>
  <c r="C135" i="1"/>
  <c r="K134" i="1"/>
  <c r="H134" i="1"/>
  <c r="G134" i="1"/>
  <c r="F134" i="1"/>
  <c r="D134" i="1"/>
  <c r="J134" i="1" s="1"/>
  <c r="L134" i="1" s="1"/>
  <c r="C134" i="1"/>
  <c r="K133" i="1"/>
  <c r="H133" i="1"/>
  <c r="G133" i="1"/>
  <c r="F133" i="1"/>
  <c r="D133" i="1"/>
  <c r="J133" i="1" s="1"/>
  <c r="L133" i="1" s="1"/>
  <c r="C133" i="1"/>
  <c r="K132" i="1"/>
  <c r="H132" i="1"/>
  <c r="G132" i="1"/>
  <c r="F132" i="1"/>
  <c r="D132" i="1"/>
  <c r="J132" i="1" s="1"/>
  <c r="L132" i="1" s="1"/>
  <c r="C132" i="1"/>
  <c r="K131" i="1"/>
  <c r="H131" i="1"/>
  <c r="G131" i="1"/>
  <c r="F131" i="1"/>
  <c r="D131" i="1"/>
  <c r="J131" i="1" s="1"/>
  <c r="L131" i="1" s="1"/>
  <c r="C131" i="1"/>
  <c r="K130" i="1"/>
  <c r="H130" i="1"/>
  <c r="G130" i="1"/>
  <c r="F130" i="1"/>
  <c r="D130" i="1"/>
  <c r="J130" i="1" s="1"/>
  <c r="L130" i="1" s="1"/>
  <c r="C130" i="1"/>
  <c r="K129" i="1"/>
  <c r="H129" i="1"/>
  <c r="G129" i="1"/>
  <c r="F129" i="1"/>
  <c r="D129" i="1"/>
  <c r="J129" i="1" s="1"/>
  <c r="L129" i="1" s="1"/>
  <c r="C129" i="1"/>
  <c r="K128" i="1"/>
  <c r="H128" i="1"/>
  <c r="G128" i="1"/>
  <c r="F128" i="1"/>
  <c r="D128" i="1"/>
  <c r="J128" i="1" s="1"/>
  <c r="L128" i="1" s="1"/>
  <c r="C128" i="1"/>
  <c r="K127" i="1"/>
  <c r="H127" i="1"/>
  <c r="G127" i="1"/>
  <c r="F127" i="1"/>
  <c r="D127" i="1"/>
  <c r="J127" i="1" s="1"/>
  <c r="L127" i="1" s="1"/>
  <c r="C127" i="1"/>
  <c r="K126" i="1"/>
  <c r="H126" i="1"/>
  <c r="G126" i="1"/>
  <c r="F126" i="1"/>
  <c r="D126" i="1"/>
  <c r="J126" i="1" s="1"/>
  <c r="L126" i="1" s="1"/>
  <c r="C126" i="1"/>
  <c r="K125" i="1"/>
  <c r="H125" i="1"/>
  <c r="G125" i="1"/>
  <c r="F125" i="1"/>
  <c r="D125" i="1"/>
  <c r="J125" i="1" s="1"/>
  <c r="L125" i="1" s="1"/>
  <c r="C125" i="1"/>
  <c r="K123" i="1"/>
  <c r="G123" i="1"/>
  <c r="F123" i="1"/>
  <c r="D123" i="1"/>
  <c r="C123" i="1"/>
  <c r="L122" i="1"/>
  <c r="K122" i="1"/>
  <c r="J122" i="1"/>
  <c r="H122" i="1"/>
  <c r="G122" i="1"/>
  <c r="F122" i="1"/>
  <c r="D122" i="1"/>
  <c r="C122" i="1"/>
  <c r="L121" i="1"/>
  <c r="K121" i="1"/>
  <c r="J121" i="1"/>
  <c r="H121" i="1"/>
  <c r="G121" i="1"/>
  <c r="F121" i="1"/>
  <c r="D121" i="1"/>
  <c r="C121" i="1"/>
  <c r="K120" i="1"/>
  <c r="G120" i="1"/>
  <c r="F120" i="1"/>
  <c r="D120" i="1"/>
  <c r="C120" i="1"/>
  <c r="N119" i="1"/>
  <c r="K119" i="1"/>
  <c r="F119" i="1"/>
  <c r="G119" i="1" s="1"/>
  <c r="C119" i="1"/>
  <c r="D119" i="1" s="1"/>
  <c r="K118" i="1"/>
  <c r="F118" i="1"/>
  <c r="G118" i="1" s="1"/>
  <c r="C118" i="1"/>
  <c r="D118" i="1" s="1"/>
  <c r="K117" i="1"/>
  <c r="F117" i="1"/>
  <c r="G117" i="1" s="1"/>
  <c r="C117" i="1"/>
  <c r="D117" i="1" s="1"/>
  <c r="K116" i="1"/>
  <c r="F116" i="1"/>
  <c r="G116" i="1" s="1"/>
  <c r="C116" i="1"/>
  <c r="D116" i="1" s="1"/>
  <c r="K115" i="1"/>
  <c r="F115" i="1"/>
  <c r="G115" i="1" s="1"/>
  <c r="C115" i="1"/>
  <c r="D115" i="1" s="1"/>
  <c r="K114" i="1"/>
  <c r="F114" i="1"/>
  <c r="G114" i="1" s="1"/>
  <c r="C114" i="1"/>
  <c r="D114" i="1" s="1"/>
  <c r="K113" i="1"/>
  <c r="F113" i="1"/>
  <c r="G113" i="1" s="1"/>
  <c r="C113" i="1"/>
  <c r="D113" i="1" s="1"/>
  <c r="K112" i="1"/>
  <c r="F112" i="1"/>
  <c r="G112" i="1" s="1"/>
  <c r="C112" i="1"/>
  <c r="D112" i="1" s="1"/>
  <c r="G111" i="1"/>
  <c r="D111" i="1"/>
  <c r="J110" i="1"/>
  <c r="K109" i="1"/>
  <c r="F109" i="1"/>
  <c r="G109" i="1" s="1"/>
  <c r="C109" i="1"/>
  <c r="D109" i="1" s="1"/>
  <c r="K108" i="1"/>
  <c r="F108" i="1"/>
  <c r="G108" i="1" s="1"/>
  <c r="C108" i="1"/>
  <c r="D108" i="1" s="1"/>
  <c r="K107" i="1"/>
  <c r="F107" i="1"/>
  <c r="G107" i="1" s="1"/>
  <c r="C107" i="1"/>
  <c r="D107" i="1" s="1"/>
  <c r="K106" i="1"/>
  <c r="F106" i="1"/>
  <c r="G106" i="1" s="1"/>
  <c r="C106" i="1"/>
  <c r="D106" i="1" s="1"/>
  <c r="K105" i="1"/>
  <c r="F105" i="1"/>
  <c r="G105" i="1" s="1"/>
  <c r="C105" i="1"/>
  <c r="D105" i="1" s="1"/>
  <c r="K104" i="1"/>
  <c r="F104" i="1"/>
  <c r="G104" i="1" s="1"/>
  <c r="C104" i="1"/>
  <c r="D104" i="1" s="1"/>
  <c r="K103" i="1"/>
  <c r="F103" i="1"/>
  <c r="G103" i="1" s="1"/>
  <c r="C103" i="1"/>
  <c r="D103" i="1" s="1"/>
  <c r="K102" i="1"/>
  <c r="F102" i="1"/>
  <c r="G102" i="1" s="1"/>
  <c r="C102" i="1"/>
  <c r="D102" i="1" s="1"/>
  <c r="K101" i="1"/>
  <c r="F101" i="1"/>
  <c r="G101" i="1" s="1"/>
  <c r="C101" i="1"/>
  <c r="D101" i="1" s="1"/>
  <c r="K100" i="1"/>
  <c r="F100" i="1"/>
  <c r="G100" i="1" s="1"/>
  <c r="C100" i="1"/>
  <c r="D100" i="1" s="1"/>
  <c r="K99" i="1"/>
  <c r="F99" i="1"/>
  <c r="G99" i="1" s="1"/>
  <c r="C99" i="1"/>
  <c r="D99" i="1" s="1"/>
  <c r="K98" i="1"/>
  <c r="H98" i="1"/>
  <c r="F98" i="1"/>
  <c r="G98" i="1" s="1"/>
  <c r="C98" i="1"/>
  <c r="D98" i="1" s="1"/>
  <c r="G97" i="1"/>
  <c r="D97" i="1"/>
  <c r="K95" i="1"/>
  <c r="H95" i="1"/>
  <c r="G95" i="1"/>
  <c r="F95" i="1"/>
  <c r="D95" i="1"/>
  <c r="J95" i="1" s="1"/>
  <c r="L95" i="1" s="1"/>
  <c r="C95" i="1"/>
  <c r="K94" i="1"/>
  <c r="H94" i="1"/>
  <c r="G94" i="1"/>
  <c r="F94" i="1"/>
  <c r="D94" i="1"/>
  <c r="J94" i="1" s="1"/>
  <c r="L94" i="1" s="1"/>
  <c r="C94" i="1"/>
  <c r="K93" i="1"/>
  <c r="H93" i="1"/>
  <c r="G93" i="1"/>
  <c r="F93" i="1"/>
  <c r="D93" i="1"/>
  <c r="J93" i="1" s="1"/>
  <c r="L93" i="1" s="1"/>
  <c r="C93" i="1"/>
  <c r="K92" i="1"/>
  <c r="H92" i="1"/>
  <c r="G92" i="1"/>
  <c r="F92" i="1"/>
  <c r="D92" i="1"/>
  <c r="J92" i="1" s="1"/>
  <c r="L92" i="1" s="1"/>
  <c r="C92" i="1"/>
  <c r="K91" i="1"/>
  <c r="H91" i="1"/>
  <c r="G91" i="1"/>
  <c r="F91" i="1"/>
  <c r="D91" i="1"/>
  <c r="J91" i="1" s="1"/>
  <c r="L91" i="1" s="1"/>
  <c r="C91" i="1"/>
  <c r="K90" i="1"/>
  <c r="H90" i="1"/>
  <c r="G90" i="1"/>
  <c r="F90" i="1"/>
  <c r="D90" i="1"/>
  <c r="J90" i="1" s="1"/>
  <c r="L90" i="1" s="1"/>
  <c r="C90" i="1"/>
  <c r="K89" i="1"/>
  <c r="H89" i="1"/>
  <c r="G89" i="1"/>
  <c r="F89" i="1"/>
  <c r="D89" i="1"/>
  <c r="J89" i="1" s="1"/>
  <c r="L89" i="1" s="1"/>
  <c r="C89" i="1"/>
  <c r="K88" i="1"/>
  <c r="H88" i="1"/>
  <c r="G88" i="1"/>
  <c r="F88" i="1"/>
  <c r="D88" i="1"/>
  <c r="J88" i="1" s="1"/>
  <c r="C88" i="1"/>
  <c r="K87" i="1"/>
  <c r="H87" i="1"/>
  <c r="F87" i="1"/>
  <c r="G87" i="1" s="1"/>
  <c r="C87" i="1"/>
  <c r="D87" i="1" s="1"/>
  <c r="K86" i="1"/>
  <c r="H86" i="1"/>
  <c r="F86" i="1"/>
  <c r="G86" i="1" s="1"/>
  <c r="C86" i="1"/>
  <c r="D86" i="1" s="1"/>
  <c r="K85" i="1"/>
  <c r="H85" i="1"/>
  <c r="F85" i="1"/>
  <c r="G85" i="1" s="1"/>
  <c r="C85" i="1"/>
  <c r="D85" i="1" s="1"/>
  <c r="K84" i="1"/>
  <c r="H84" i="1"/>
  <c r="F84" i="1"/>
  <c r="G84" i="1" s="1"/>
  <c r="C84" i="1"/>
  <c r="D84" i="1" s="1"/>
  <c r="K83" i="1"/>
  <c r="H83" i="1"/>
  <c r="F83" i="1"/>
  <c r="G83" i="1" s="1"/>
  <c r="C83" i="1"/>
  <c r="D83" i="1" s="1"/>
  <c r="K82" i="1"/>
  <c r="H82" i="1"/>
  <c r="F82" i="1"/>
  <c r="G82" i="1" s="1"/>
  <c r="C82" i="1"/>
  <c r="D82" i="1" s="1"/>
  <c r="K81" i="1"/>
  <c r="H81" i="1"/>
  <c r="F81" i="1"/>
  <c r="G81" i="1" s="1"/>
  <c r="C81" i="1"/>
  <c r="D81" i="1" s="1"/>
  <c r="K80" i="1"/>
  <c r="H80" i="1"/>
  <c r="F80" i="1"/>
  <c r="G80" i="1" s="1"/>
  <c r="C80" i="1"/>
  <c r="D80" i="1" s="1"/>
  <c r="K79" i="1"/>
  <c r="H79" i="1"/>
  <c r="F79" i="1"/>
  <c r="G79" i="1" s="1"/>
  <c r="C79" i="1"/>
  <c r="D79" i="1" s="1"/>
  <c r="K78" i="1"/>
  <c r="H78" i="1"/>
  <c r="F78" i="1"/>
  <c r="G78" i="1" s="1"/>
  <c r="C78" i="1"/>
  <c r="D78" i="1" s="1"/>
  <c r="K77" i="1"/>
  <c r="H77" i="1"/>
  <c r="F77" i="1"/>
  <c r="G77" i="1" s="1"/>
  <c r="C77" i="1"/>
  <c r="D77" i="1" s="1"/>
  <c r="K76" i="1"/>
  <c r="H76" i="1"/>
  <c r="F76" i="1"/>
  <c r="G76" i="1" s="1"/>
  <c r="C76" i="1"/>
  <c r="D76" i="1" s="1"/>
  <c r="K75" i="1"/>
  <c r="H75" i="1"/>
  <c r="F75" i="1"/>
  <c r="G75" i="1" s="1"/>
  <c r="C75" i="1"/>
  <c r="D75" i="1" s="1"/>
  <c r="L74" i="1"/>
  <c r="J97" i="1" s="1"/>
  <c r="H99" i="1" s="1"/>
  <c r="K72" i="1"/>
  <c r="H72" i="1"/>
  <c r="F72" i="1"/>
  <c r="G72" i="1" s="1"/>
  <c r="C72" i="1"/>
  <c r="D72" i="1" s="1"/>
  <c r="J72" i="1" s="1"/>
  <c r="L72" i="1" s="1"/>
  <c r="K71" i="1"/>
  <c r="H71" i="1"/>
  <c r="G71" i="1"/>
  <c r="F71" i="1"/>
  <c r="D71" i="1"/>
  <c r="J71" i="1" s="1"/>
  <c r="L71" i="1" s="1"/>
  <c r="C71" i="1"/>
  <c r="K70" i="1"/>
  <c r="H70" i="1"/>
  <c r="G70" i="1"/>
  <c r="F70" i="1"/>
  <c r="D70" i="1"/>
  <c r="J70" i="1" s="1"/>
  <c r="L70" i="1" s="1"/>
  <c r="C70" i="1"/>
  <c r="K69" i="1"/>
  <c r="H69" i="1"/>
  <c r="G69" i="1"/>
  <c r="F69" i="1"/>
  <c r="D69" i="1"/>
  <c r="J69" i="1" s="1"/>
  <c r="L69" i="1" s="1"/>
  <c r="C69" i="1"/>
  <c r="K68" i="1"/>
  <c r="H68" i="1"/>
  <c r="G68" i="1"/>
  <c r="F68" i="1"/>
  <c r="D68" i="1"/>
  <c r="J68" i="1" s="1"/>
  <c r="L68" i="1" s="1"/>
  <c r="C68" i="1"/>
  <c r="K67" i="1"/>
  <c r="H67" i="1"/>
  <c r="G67" i="1"/>
  <c r="F67" i="1"/>
  <c r="D67" i="1"/>
  <c r="J67" i="1" s="1"/>
  <c r="L67" i="1" s="1"/>
  <c r="C67" i="1"/>
  <c r="K66" i="1"/>
  <c r="H66" i="1"/>
  <c r="G66" i="1"/>
  <c r="F66" i="1"/>
  <c r="D66" i="1"/>
  <c r="J66" i="1" s="1"/>
  <c r="L66" i="1" s="1"/>
  <c r="C66" i="1"/>
  <c r="K65" i="1"/>
  <c r="H65" i="1"/>
  <c r="G65" i="1"/>
  <c r="F65" i="1"/>
  <c r="D65" i="1"/>
  <c r="J65" i="1" s="1"/>
  <c r="L65" i="1" s="1"/>
  <c r="C65" i="1"/>
  <c r="K64" i="1"/>
  <c r="H64" i="1"/>
  <c r="G64" i="1"/>
  <c r="F64" i="1"/>
  <c r="D64" i="1"/>
  <c r="J64" i="1" s="1"/>
  <c r="L64" i="1" s="1"/>
  <c r="C64" i="1"/>
  <c r="K63" i="1"/>
  <c r="H63" i="1"/>
  <c r="G63" i="1"/>
  <c r="F63" i="1"/>
  <c r="D63" i="1"/>
  <c r="J63" i="1" s="1"/>
  <c r="L63" i="1" s="1"/>
  <c r="C63" i="1"/>
  <c r="K62" i="1"/>
  <c r="H62" i="1"/>
  <c r="G62" i="1"/>
  <c r="F62" i="1"/>
  <c r="D62" i="1"/>
  <c r="J62" i="1" s="1"/>
  <c r="L62" i="1" s="1"/>
  <c r="C62" i="1"/>
  <c r="K61" i="1"/>
  <c r="H61" i="1"/>
  <c r="G61" i="1"/>
  <c r="F61" i="1"/>
  <c r="D61" i="1"/>
  <c r="J61" i="1" s="1"/>
  <c r="L61" i="1" s="1"/>
  <c r="C61" i="1"/>
  <c r="K60" i="1"/>
  <c r="H60" i="1"/>
  <c r="G60" i="1"/>
  <c r="F60" i="1"/>
  <c r="D60" i="1"/>
  <c r="J60" i="1" s="1"/>
  <c r="C60" i="1"/>
  <c r="K59" i="1"/>
  <c r="H59" i="1"/>
  <c r="G59" i="1"/>
  <c r="F59" i="1"/>
  <c r="D59" i="1"/>
  <c r="J59" i="1" s="1"/>
  <c r="C59" i="1"/>
  <c r="K58" i="1"/>
  <c r="H58" i="1"/>
  <c r="G58" i="1"/>
  <c r="F58" i="1"/>
  <c r="D58" i="1"/>
  <c r="J58" i="1" s="1"/>
  <c r="L58" i="1" s="1"/>
  <c r="C58" i="1"/>
  <c r="K57" i="1"/>
  <c r="H57" i="1"/>
  <c r="F57" i="1"/>
  <c r="G57" i="1" s="1"/>
  <c r="C57" i="1"/>
  <c r="D57" i="1" s="1"/>
  <c r="J57" i="1" s="1"/>
  <c r="L57" i="1" s="1"/>
  <c r="K56" i="1"/>
  <c r="H56" i="1"/>
  <c r="F56" i="1"/>
  <c r="G56" i="1" s="1"/>
  <c r="C56" i="1"/>
  <c r="D56" i="1" s="1"/>
  <c r="J56" i="1" s="1"/>
  <c r="L56" i="1" s="1"/>
  <c r="K55" i="1"/>
  <c r="H55" i="1"/>
  <c r="F55" i="1"/>
  <c r="G55" i="1" s="1"/>
  <c r="C55" i="1"/>
  <c r="D55" i="1" s="1"/>
  <c r="J55" i="1" s="1"/>
  <c r="L55" i="1" s="1"/>
  <c r="K54" i="1"/>
  <c r="H54" i="1"/>
  <c r="F54" i="1"/>
  <c r="G54" i="1" s="1"/>
  <c r="C54" i="1"/>
  <c r="D54" i="1" s="1"/>
  <c r="J54" i="1" s="1"/>
  <c r="L54" i="1" s="1"/>
  <c r="K53" i="1"/>
  <c r="H53" i="1"/>
  <c r="F53" i="1"/>
  <c r="G53" i="1" s="1"/>
  <c r="C53" i="1"/>
  <c r="D53" i="1" s="1"/>
  <c r="J53" i="1" s="1"/>
  <c r="L53" i="1" s="1"/>
  <c r="K52" i="1"/>
  <c r="H52" i="1"/>
  <c r="F52" i="1"/>
  <c r="G52" i="1" s="1"/>
  <c r="C52" i="1"/>
  <c r="D52" i="1" s="1"/>
  <c r="J52" i="1" s="1"/>
  <c r="L52" i="1" s="1"/>
  <c r="K50" i="1"/>
  <c r="H50" i="1"/>
  <c r="F50" i="1"/>
  <c r="G50" i="1" s="1"/>
  <c r="C50" i="1"/>
  <c r="D50" i="1" s="1"/>
  <c r="J50" i="1" s="1"/>
  <c r="L50" i="1" s="1"/>
  <c r="K49" i="1"/>
  <c r="H49" i="1"/>
  <c r="F49" i="1"/>
  <c r="G49" i="1" s="1"/>
  <c r="C49" i="1"/>
  <c r="D49" i="1" s="1"/>
  <c r="J49" i="1" s="1"/>
  <c r="L49" i="1" s="1"/>
  <c r="K48" i="1"/>
  <c r="H48" i="1"/>
  <c r="F48" i="1"/>
  <c r="G48" i="1" s="1"/>
  <c r="C48" i="1"/>
  <c r="D48" i="1" s="1"/>
  <c r="J48" i="1" s="1"/>
  <c r="L48" i="1" s="1"/>
  <c r="K47" i="1"/>
  <c r="H47" i="1"/>
  <c r="F47" i="1"/>
  <c r="G47" i="1" s="1"/>
  <c r="C47" i="1"/>
  <c r="D47" i="1" s="1"/>
  <c r="J47" i="1" s="1"/>
  <c r="L47" i="1" s="1"/>
  <c r="K46" i="1"/>
  <c r="H46" i="1"/>
  <c r="F46" i="1"/>
  <c r="G46" i="1" s="1"/>
  <c r="C46" i="1"/>
  <c r="D46" i="1" s="1"/>
  <c r="J46" i="1" s="1"/>
  <c r="L46" i="1" s="1"/>
  <c r="K45" i="1"/>
  <c r="K44" i="1"/>
  <c r="H44" i="1"/>
  <c r="G44" i="1"/>
  <c r="F44" i="1"/>
  <c r="D44" i="1"/>
  <c r="J44" i="1" s="1"/>
  <c r="L44" i="1" s="1"/>
  <c r="C44" i="1"/>
  <c r="K43" i="1"/>
  <c r="H43" i="1"/>
  <c r="G43" i="1"/>
  <c r="F43" i="1"/>
  <c r="D43" i="1"/>
  <c r="J43" i="1" s="1"/>
  <c r="C43" i="1"/>
  <c r="D41" i="1"/>
  <c r="J41" i="1" s="1"/>
  <c r="K40" i="1"/>
  <c r="H40" i="1"/>
  <c r="G40" i="1"/>
  <c r="F40" i="1"/>
  <c r="D40" i="1"/>
  <c r="J40" i="1" s="1"/>
  <c r="L40" i="1" s="1"/>
  <c r="C40" i="1"/>
  <c r="K39" i="1"/>
  <c r="H39" i="1"/>
  <c r="G39" i="1"/>
  <c r="F39" i="1"/>
  <c r="D39" i="1"/>
  <c r="J39" i="1" s="1"/>
  <c r="L39" i="1" s="1"/>
  <c r="C39" i="1"/>
  <c r="K38" i="1"/>
  <c r="H38" i="1"/>
  <c r="G38" i="1"/>
  <c r="F38" i="1"/>
  <c r="D38" i="1"/>
  <c r="J38" i="1" s="1"/>
  <c r="L38" i="1" s="1"/>
  <c r="C38" i="1"/>
  <c r="K37" i="1"/>
  <c r="H37" i="1"/>
  <c r="G37" i="1"/>
  <c r="F37" i="1"/>
  <c r="D37" i="1"/>
  <c r="J37" i="1" s="1"/>
  <c r="L37" i="1" s="1"/>
  <c r="C37" i="1"/>
  <c r="K36" i="1"/>
  <c r="H36" i="1"/>
  <c r="G36" i="1"/>
  <c r="F36" i="1"/>
  <c r="D36" i="1"/>
  <c r="J36" i="1" s="1"/>
  <c r="L36" i="1" s="1"/>
  <c r="C36" i="1"/>
  <c r="K35" i="1"/>
  <c r="H35" i="1"/>
  <c r="G35" i="1"/>
  <c r="F35" i="1"/>
  <c r="D35" i="1"/>
  <c r="J35" i="1" s="1"/>
  <c r="L35" i="1" s="1"/>
  <c r="C35" i="1"/>
  <c r="K34" i="1"/>
  <c r="H34" i="1"/>
  <c r="G34" i="1"/>
  <c r="F34" i="1"/>
  <c r="D34" i="1"/>
  <c r="J34" i="1" s="1"/>
  <c r="L34" i="1" s="1"/>
  <c r="C34" i="1"/>
  <c r="K33" i="1"/>
  <c r="H33" i="1"/>
  <c r="G33" i="1"/>
  <c r="F33" i="1"/>
  <c r="D33" i="1"/>
  <c r="J33" i="1" s="1"/>
  <c r="L33" i="1" s="1"/>
  <c r="C33" i="1"/>
  <c r="K32" i="1"/>
  <c r="H32" i="1"/>
  <c r="G32" i="1"/>
  <c r="F32" i="1"/>
  <c r="D32" i="1"/>
  <c r="J32" i="1" s="1"/>
  <c r="L32" i="1" s="1"/>
  <c r="C32" i="1"/>
  <c r="K31" i="1"/>
  <c r="H31" i="1"/>
  <c r="G31" i="1"/>
  <c r="F31" i="1"/>
  <c r="D31" i="1"/>
  <c r="J31" i="1" s="1"/>
  <c r="L31" i="1" s="1"/>
  <c r="C31" i="1"/>
  <c r="K30" i="1"/>
  <c r="H30" i="1"/>
  <c r="G30" i="1"/>
  <c r="F30" i="1"/>
  <c r="D30" i="1"/>
  <c r="J30" i="1" s="1"/>
  <c r="L30" i="1" s="1"/>
  <c r="C30" i="1"/>
  <c r="K29" i="1"/>
  <c r="H29" i="1"/>
  <c r="G29" i="1"/>
  <c r="F29" i="1"/>
  <c r="D29" i="1"/>
  <c r="J29" i="1" s="1"/>
  <c r="L29" i="1" s="1"/>
  <c r="C29" i="1"/>
  <c r="K28" i="1"/>
  <c r="H28" i="1"/>
  <c r="H41" i="1" s="1"/>
  <c r="G28" i="1"/>
  <c r="G41" i="1" s="1"/>
  <c r="F28" i="1"/>
  <c r="F41" i="1" s="1"/>
  <c r="D28" i="1"/>
  <c r="J28" i="1" s="1"/>
  <c r="L28" i="1" s="1"/>
  <c r="C28" i="1"/>
  <c r="C41" i="1" s="1"/>
  <c r="F27" i="1"/>
  <c r="D27" i="1"/>
  <c r="F26" i="1"/>
  <c r="D26" i="1"/>
  <c r="K25" i="1"/>
  <c r="H25" i="1"/>
  <c r="G25" i="1"/>
  <c r="F25" i="1"/>
  <c r="D25" i="1"/>
  <c r="J25" i="1" s="1"/>
  <c r="L25" i="1" s="1"/>
  <c r="C25" i="1"/>
  <c r="K24" i="1"/>
  <c r="H24" i="1"/>
  <c r="G24" i="1"/>
  <c r="F24" i="1"/>
  <c r="D24" i="1"/>
  <c r="J24" i="1" s="1"/>
  <c r="L24" i="1" s="1"/>
  <c r="C24" i="1"/>
  <c r="K23" i="1"/>
  <c r="H23" i="1"/>
  <c r="G23" i="1"/>
  <c r="F23" i="1"/>
  <c r="D23" i="1"/>
  <c r="J23" i="1" s="1"/>
  <c r="L23" i="1" s="1"/>
  <c r="C23" i="1"/>
  <c r="K22" i="1"/>
  <c r="H22" i="1"/>
  <c r="G22" i="1"/>
  <c r="F22" i="1"/>
  <c r="D22" i="1"/>
  <c r="J22" i="1" s="1"/>
  <c r="L22" i="1" s="1"/>
  <c r="C22" i="1"/>
  <c r="K21" i="1"/>
  <c r="H21" i="1"/>
  <c r="G21" i="1"/>
  <c r="F21" i="1"/>
  <c r="D21" i="1"/>
  <c r="J21" i="1" s="1"/>
  <c r="L21" i="1" s="1"/>
  <c r="C21" i="1"/>
  <c r="L20" i="1"/>
  <c r="K20" i="1"/>
  <c r="J20" i="1"/>
  <c r="H20" i="1"/>
  <c r="G20" i="1"/>
  <c r="F20" i="1"/>
  <c r="D20" i="1"/>
  <c r="L19" i="1"/>
  <c r="K19" i="1"/>
  <c r="J19" i="1"/>
  <c r="H19" i="1"/>
  <c r="G19" i="1"/>
  <c r="F19" i="1"/>
  <c r="D19" i="1"/>
  <c r="K18" i="1"/>
  <c r="J18" i="1"/>
  <c r="L18" i="1" s="1"/>
  <c r="H18" i="1"/>
  <c r="G18" i="1"/>
  <c r="F18" i="1"/>
  <c r="D18" i="1"/>
  <c r="K17" i="1"/>
  <c r="J17" i="1"/>
  <c r="H17" i="1"/>
  <c r="G17" i="1"/>
  <c r="F17" i="1"/>
  <c r="D17" i="1"/>
  <c r="K16" i="1"/>
  <c r="J16" i="1"/>
  <c r="L16" i="1" s="1"/>
  <c r="H16" i="1"/>
  <c r="G16" i="1"/>
  <c r="F16" i="1"/>
  <c r="D16" i="1"/>
  <c r="K15" i="1"/>
  <c r="J15" i="1"/>
  <c r="L15" i="1" s="1"/>
  <c r="H15" i="1"/>
  <c r="G15" i="1"/>
  <c r="F15" i="1"/>
  <c r="D15" i="1"/>
  <c r="K14" i="1"/>
  <c r="J14" i="1"/>
  <c r="L14" i="1" s="1"/>
  <c r="H14" i="1"/>
  <c r="G14" i="1"/>
  <c r="F14" i="1"/>
  <c r="D14" i="1"/>
  <c r="K13" i="1"/>
  <c r="J13" i="1"/>
  <c r="H13" i="1"/>
  <c r="G13" i="1"/>
  <c r="F13" i="1"/>
  <c r="D13" i="1"/>
  <c r="K12" i="1"/>
  <c r="H12" i="1"/>
  <c r="G12" i="1"/>
  <c r="F12" i="1"/>
  <c r="D12" i="1"/>
  <c r="J12" i="1" s="1"/>
  <c r="L12" i="1" s="1"/>
  <c r="C12" i="1"/>
  <c r="K11" i="1"/>
  <c r="H11" i="1"/>
  <c r="G11" i="1"/>
  <c r="F11" i="1"/>
  <c r="D11" i="1"/>
  <c r="J11" i="1" s="1"/>
  <c r="L11" i="1" s="1"/>
  <c r="C11" i="1"/>
  <c r="K10" i="1"/>
  <c r="H10" i="1"/>
  <c r="G10" i="1"/>
  <c r="G26" i="1" s="1"/>
  <c r="F10" i="1"/>
  <c r="D10" i="1"/>
  <c r="J10" i="1" s="1"/>
  <c r="L10" i="1" s="1"/>
  <c r="C10" i="1"/>
  <c r="C26" i="1" s="1"/>
  <c r="K8" i="1"/>
  <c r="F8" i="1"/>
  <c r="G8" i="1" s="1"/>
  <c r="C8" i="1"/>
  <c r="D8" i="1" s="1"/>
  <c r="J8" i="1" s="1"/>
  <c r="L8" i="1" s="1"/>
  <c r="K7" i="1"/>
  <c r="H7" i="1"/>
  <c r="F7" i="1"/>
  <c r="G7" i="1" s="1"/>
  <c r="C7" i="1"/>
  <c r="D7" i="1" s="1"/>
  <c r="J7" i="1" s="1"/>
  <c r="L7" i="1" s="1"/>
  <c r="K6" i="1"/>
  <c r="H6" i="1"/>
  <c r="F6" i="1"/>
  <c r="G6" i="1" s="1"/>
  <c r="C6" i="1"/>
  <c r="D6" i="1" s="1"/>
  <c r="J6" i="1" s="1"/>
  <c r="L6" i="1" s="1"/>
  <c r="M57" i="1" l="1"/>
  <c r="L43" i="1"/>
  <c r="M71" i="1"/>
  <c r="L59" i="1"/>
  <c r="M72" i="1"/>
  <c r="L60" i="1"/>
  <c r="L88" i="1"/>
  <c r="L163" i="1"/>
  <c r="H26" i="1"/>
  <c r="J26" i="1" s="1"/>
  <c r="L13" i="1"/>
  <c r="L17" i="1"/>
  <c r="J75" i="1"/>
  <c r="J76" i="1"/>
  <c r="L76" i="1" s="1"/>
  <c r="J77" i="1"/>
  <c r="L77" i="1" s="1"/>
  <c r="J78" i="1"/>
  <c r="L78" i="1" s="1"/>
  <c r="J79" i="1"/>
  <c r="L79" i="1" s="1"/>
  <c r="J80" i="1"/>
  <c r="L80" i="1" s="1"/>
  <c r="J81" i="1"/>
  <c r="L81" i="1" s="1"/>
  <c r="J82" i="1"/>
  <c r="L82" i="1" s="1"/>
  <c r="J83" i="1"/>
  <c r="L83" i="1" s="1"/>
  <c r="J84" i="1"/>
  <c r="L84" i="1" s="1"/>
  <c r="J85" i="1"/>
  <c r="L85" i="1" s="1"/>
  <c r="J86" i="1"/>
  <c r="L86" i="1" s="1"/>
  <c r="J87" i="1"/>
  <c r="L87" i="1" s="1"/>
  <c r="J98" i="1"/>
  <c r="J99" i="1"/>
  <c r="H156" i="1"/>
  <c r="P151" i="1" s="1"/>
  <c r="H123" i="1"/>
  <c r="J123" i="1" s="1"/>
  <c r="L123" i="1" s="1"/>
  <c r="H120" i="1"/>
  <c r="J120" i="1" s="1"/>
  <c r="L120" i="1" s="1"/>
  <c r="J111" i="1"/>
  <c r="F156" i="1"/>
  <c r="O149" i="1" s="1"/>
  <c r="N185" i="1"/>
  <c r="D169" i="1"/>
  <c r="J169" i="1" s="1"/>
  <c r="L199" i="1"/>
  <c r="H112" i="1"/>
  <c r="J112" i="1" s="1"/>
  <c r="L112" i="1" s="1"/>
  <c r="H113" i="1"/>
  <c r="J113" i="1" s="1"/>
  <c r="L113" i="1" s="1"/>
  <c r="H114" i="1"/>
  <c r="J114" i="1" s="1"/>
  <c r="L114" i="1" s="1"/>
  <c r="H115" i="1"/>
  <c r="J115" i="1" s="1"/>
  <c r="L115" i="1" s="1"/>
  <c r="H116" i="1"/>
  <c r="J116" i="1" s="1"/>
  <c r="L116" i="1" s="1"/>
  <c r="H117" i="1"/>
  <c r="J117" i="1" s="1"/>
  <c r="L117" i="1" s="1"/>
  <c r="H118" i="1"/>
  <c r="J118" i="1" s="1"/>
  <c r="L118" i="1" s="1"/>
  <c r="H119" i="1"/>
  <c r="J119" i="1" s="1"/>
  <c r="L119" i="1" s="1"/>
  <c r="G156" i="1"/>
  <c r="P149" i="1" s="1"/>
  <c r="P150" i="1" s="1"/>
  <c r="P152" i="1" s="1"/>
  <c r="J147" i="1"/>
  <c r="L147" i="1" s="1"/>
  <c r="J148" i="1"/>
  <c r="L148" i="1" s="1"/>
  <c r="J150" i="1"/>
  <c r="L150" i="1" s="1"/>
  <c r="J153" i="1"/>
  <c r="L153" i="1" s="1"/>
  <c r="J154" i="1"/>
  <c r="L154" i="1" s="1"/>
  <c r="J155" i="1"/>
  <c r="L155" i="1" s="1"/>
  <c r="C156" i="1"/>
  <c r="O148" i="1" s="1"/>
  <c r="J146" i="1"/>
  <c r="O185" i="1"/>
  <c r="J188" i="1"/>
  <c r="L188" i="1" s="1"/>
  <c r="J189" i="1"/>
  <c r="L189" i="1" s="1"/>
  <c r="J190" i="1"/>
  <c r="J202" i="1"/>
  <c r="L202" i="1" s="1"/>
  <c r="J203" i="1"/>
  <c r="J204" i="1"/>
  <c r="J205" i="1"/>
  <c r="L205" i="1" s="1"/>
  <c r="J206" i="1"/>
  <c r="J207" i="1"/>
  <c r="L207" i="1" s="1"/>
  <c r="J208" i="1"/>
  <c r="L208" i="1" s="1"/>
  <c r="J209" i="1"/>
  <c r="L209" i="1" s="1"/>
  <c r="J210" i="1"/>
  <c r="L210" i="1" s="1"/>
  <c r="J211" i="1"/>
  <c r="L211" i="1" s="1"/>
  <c r="J212" i="1"/>
  <c r="L212" i="1" s="1"/>
  <c r="F240" i="1"/>
  <c r="H240" i="1" s="1"/>
  <c r="F239" i="1"/>
  <c r="H239" i="1" s="1"/>
  <c r="F237" i="1"/>
  <c r="H237" i="1" s="1"/>
  <c r="F235" i="1"/>
  <c r="H235" i="1" s="1"/>
  <c r="F233" i="1"/>
  <c r="F246" i="1"/>
  <c r="F245" i="1"/>
  <c r="H245" i="1" s="1"/>
  <c r="N239" i="1" s="1"/>
  <c r="F244" i="1"/>
  <c r="F243" i="1"/>
  <c r="H243" i="1" s="1"/>
  <c r="F242" i="1"/>
  <c r="F241" i="1"/>
  <c r="H241" i="1" s="1"/>
  <c r="F236" i="1"/>
  <c r="H236" i="1" s="1"/>
  <c r="F232" i="1"/>
  <c r="H232" i="1" s="1"/>
  <c r="F231" i="1"/>
  <c r="K226" i="1"/>
  <c r="H231" i="1"/>
  <c r="H233" i="1"/>
  <c r="H242" i="1"/>
  <c r="H244" i="1"/>
  <c r="H246" i="1"/>
  <c r="H234" i="1"/>
  <c r="H238" i="1"/>
  <c r="H248" i="1"/>
  <c r="H252" i="1"/>
  <c r="H256" i="1"/>
  <c r="L247" i="1" l="1"/>
  <c r="L203" i="1"/>
  <c r="L241" i="1"/>
  <c r="L190" i="1"/>
  <c r="L243" i="1"/>
  <c r="J156" i="1"/>
  <c r="L146" i="1"/>
  <c r="N216" i="1"/>
  <c r="P185" i="1"/>
  <c r="N186" i="1"/>
  <c r="L99" i="1"/>
  <c r="H101" i="1"/>
  <c r="J101" i="1" s="1"/>
  <c r="L75" i="1"/>
  <c r="M87" i="1"/>
  <c r="L245" i="1"/>
  <c r="L246" i="1"/>
  <c r="L206" i="1"/>
  <c r="L244" i="1"/>
  <c r="L204" i="1"/>
  <c r="L242" i="1"/>
  <c r="O186" i="1"/>
  <c r="O150" i="1"/>
  <c r="L169" i="1"/>
  <c r="N190" i="1"/>
  <c r="M156" i="1"/>
  <c r="L98" i="1"/>
  <c r="H100" i="1"/>
  <c r="J100" i="1" s="1"/>
  <c r="P170" i="1"/>
  <c r="H102" i="1" l="1"/>
  <c r="J102" i="1" s="1"/>
  <c r="L100" i="1"/>
  <c r="H103" i="1"/>
  <c r="J103" i="1" s="1"/>
  <c r="L101" i="1"/>
  <c r="L103" i="1" l="1"/>
  <c r="H105" i="1"/>
  <c r="J105" i="1" s="1"/>
  <c r="L102" i="1"/>
  <c r="H104" i="1"/>
  <c r="J104" i="1" s="1"/>
  <c r="L104" i="1" l="1"/>
  <c r="H106" i="1"/>
  <c r="J106" i="1" s="1"/>
  <c r="M104" i="1"/>
  <c r="O104" i="1" s="1"/>
  <c r="L105" i="1"/>
  <c r="H107" i="1"/>
  <c r="J107" i="1" s="1"/>
  <c r="L106" i="1" l="1"/>
  <c r="H108" i="1"/>
  <c r="J108" i="1" s="1"/>
  <c r="L107" i="1"/>
  <c r="H109" i="1"/>
  <c r="J109" i="1" s="1"/>
  <c r="L109" i="1" s="1"/>
  <c r="L108" i="1" l="1"/>
  <c r="M119" i="1"/>
  <c r="O119" i="1" s="1"/>
</calcChain>
</file>

<file path=xl/sharedStrings.xml><?xml version="1.0" encoding="utf-8"?>
<sst xmlns="http://schemas.openxmlformats.org/spreadsheetml/2006/main" count="144" uniqueCount="89">
  <si>
    <t>RELEVES EDF</t>
  </si>
  <si>
    <t>Puissance 12 kVa    Heures creuses 22h30/06h30</t>
  </si>
  <si>
    <t>Heures pleines prix KWH</t>
  </si>
  <si>
    <t>Heures creuses prix KWH</t>
  </si>
  <si>
    <t>abonnement /mois</t>
  </si>
  <si>
    <t>date</t>
  </si>
  <si>
    <t>relevé HP</t>
  </si>
  <si>
    <t>Consomm.</t>
  </si>
  <si>
    <t>Montant</t>
  </si>
  <si>
    <t>relevé HC</t>
  </si>
  <si>
    <t>part abonnement</t>
  </si>
  <si>
    <t>OBSERVATION</t>
  </si>
  <si>
    <t>Total du mois</t>
  </si>
  <si>
    <t>nbre de jours</t>
  </si>
  <si>
    <t>soit/jour</t>
  </si>
  <si>
    <t>mise en service EDF</t>
  </si>
  <si>
    <t>releve EDF</t>
  </si>
  <si>
    <t>relève en même temps que passage relève EDF</t>
  </si>
  <si>
    <t>total année</t>
  </si>
  <si>
    <t>nouveaux tarifs 15/08</t>
  </si>
  <si>
    <t>releve EDF a 09h50 au poteau</t>
  </si>
  <si>
    <t>nouveaux tarifs 01/01/11</t>
  </si>
  <si>
    <t>relèe EDF  poteau 11h35</t>
  </si>
  <si>
    <t>nouveaux tarifs 01/07/2012</t>
  </si>
  <si>
    <t xml:space="preserve">suite relève EDF en matinée </t>
  </si>
  <si>
    <t>fact reel EDF</t>
  </si>
  <si>
    <t>releve ce jour EDF</t>
  </si>
  <si>
    <t xml:space="preserve"> tarifs 01/01/2014</t>
  </si>
  <si>
    <t>abonnement annuel</t>
  </si>
  <si>
    <t>hausse depuis dernier tarif</t>
  </si>
  <si>
    <t>Changement des ampoules Séjour, couloirs, ch  pour des leds le 20 et 21/01/14</t>
  </si>
  <si>
    <t>Tot juin 2013 à juin 2014</t>
  </si>
  <si>
    <t>Fact EDF</t>
  </si>
  <si>
    <t>ecart</t>
  </si>
  <si>
    <t xml:space="preserve"> tarifs 01/11/2014</t>
  </si>
  <si>
    <t>Tot juin 2014 à juin 2015</t>
  </si>
  <si>
    <t>dont 98€ env de rattrapage 2012/2013</t>
  </si>
  <si>
    <t>les prix ci contre sont ceux de direct energie</t>
  </si>
  <si>
    <t>relevé le 22/07 mais Direct énergie depuis le 20/07/15  voir fact définitive EDF pour index exacts</t>
  </si>
  <si>
    <t>index sur la facture finale du 24/07/2015</t>
  </si>
  <si>
    <t>pour info index au 31/07 a 14h50</t>
  </si>
  <si>
    <t>relevé par EDF</t>
  </si>
  <si>
    <t>adh LAMPIRIS</t>
  </si>
  <si>
    <t>les prix ci contre sont ceux de LAMPIRIS</t>
  </si>
  <si>
    <t xml:space="preserve"> </t>
  </si>
  <si>
    <t>Heures pleines</t>
  </si>
  <si>
    <t>heures creuses</t>
  </si>
  <si>
    <t>Total</t>
  </si>
  <si>
    <t>abonnement</t>
  </si>
  <si>
    <t>Facture 12/07/17</t>
  </si>
  <si>
    <t>taxes diverses a ajouter</t>
  </si>
  <si>
    <t>+ facture de changement de total spring vers Ekowateur</t>
  </si>
  <si>
    <t>indices communiqués ce jour a ekWateur souscription nouveau contrat</t>
  </si>
  <si>
    <t xml:space="preserve">relève compteur par EDF </t>
  </si>
  <si>
    <t>les prix ci contre sont ceux de EKOWATEUR (tél du 21/08/19)</t>
  </si>
  <si>
    <t>FACTURE LE 2/07/19</t>
  </si>
  <si>
    <t>du 27/6/18 au 27/06/19</t>
  </si>
  <si>
    <t>HP</t>
  </si>
  <si>
    <t>HC</t>
  </si>
  <si>
    <t>les prix ci contre sont ceux de EKOWATEUR grille tarif NOV 2019</t>
  </si>
  <si>
    <t>changement pour Lincky A 12H</t>
  </si>
  <si>
    <t>Releve 1 semaine après pose Lincky</t>
  </si>
  <si>
    <t>FACTURE LE 30/06/20</t>
  </si>
  <si>
    <t>du 28/06/19 au 23/06/20</t>
  </si>
  <si>
    <t xml:space="preserve">relève au 17/06/21  HP 11973 ET HC 5208 </t>
  </si>
  <si>
    <t>relève fournisseur ce jour</t>
  </si>
  <si>
    <t>les prix ci contre sont ceux de EKOWATEUR grille tarif NOV 2021</t>
  </si>
  <si>
    <t xml:space="preserve">NOUVEL INDEX PASSAGE CHEZ EDF </t>
  </si>
  <si>
    <t>prix kW TTC</t>
  </si>
  <si>
    <t>Nouveau tarif a compter du 1er févier 2023</t>
  </si>
  <si>
    <t>d'augmentation</t>
  </si>
  <si>
    <t>Nouveau tarif a compter du 1er aout 2023</t>
  </si>
  <si>
    <t>Nouveau tarif à compter du 1er novembre 2023 (OCTOPUS)</t>
  </si>
  <si>
    <t>Dates</t>
  </si>
  <si>
    <t>Nombre de jours</t>
  </si>
  <si>
    <t>Index</t>
  </si>
  <si>
    <t>Conso/période</t>
  </si>
  <si>
    <t>Montant conso</t>
  </si>
  <si>
    <t>Montant abonn</t>
  </si>
  <si>
    <t>Total année</t>
  </si>
  <si>
    <t>index de la facture</t>
  </si>
  <si>
    <t>facture 2023</t>
  </si>
  <si>
    <t>TARIFS ELECTRICITE</t>
  </si>
  <si>
    <t>date nouveau tarif</t>
  </si>
  <si>
    <t>tarif kWh TTC</t>
  </si>
  <si>
    <t>hausse</t>
  </si>
  <si>
    <t>tarif abonn.TTC annuel</t>
  </si>
  <si>
    <t>EDF</t>
  </si>
  <si>
    <t>OCTOPUS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</si>
</sst>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</font>
    <font>
      <sz val="10"/>
      <name val="Arial"/>
    </font>
    <font>
      <b/>
      <sz val="1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sz val="9"/>
      <name val="Arial"/>
    </font>
    <font>
      <sz val="7"/>
      <name val="Arial"/>
    </font>
    <font>
      <sz val="6"/>
      <name val="Arial"/>
    </font>
    <font>
      <sz val="8"/>
      <name val="Arial"/>
      <family val="2"/>
    </font>
    <font>
      <sz val="9"/>
      <name val="Arial"/>
      <family val="2"/>
    </font>
    <font>
      <b/>
      <sz val="6"/>
      <color rgb="FFFF0000"/>
      <name val="Arial"/>
      <family val="2"/>
    </font>
    <font>
      <b/>
      <sz val="10"/>
      <color rgb="FFFF0000"/>
      <name val="Arial"/>
      <family val="2"/>
    </font>
    <font>
      <sz val="8"/>
      <name val="Calibri"/>
      <family val="2"/>
      <scheme val="minor"/>
    </font>
    <font>
      <sz val="6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9"/>
      <color theme="5"/>
      <name val="Arial"/>
      <family val="2"/>
    </font>
    <font>
      <b/>
      <i/>
      <sz val="8"/>
      <name val="Arial"/>
      <family val="2"/>
    </font>
    <font>
      <b/>
      <i/>
      <sz val="7"/>
      <name val="Arial"/>
      <family val="2"/>
    </font>
    <font>
      <sz val="11"/>
      <color rgb="FF141414"/>
      <name val="Inherit"/>
    </font>
    <font>
      <b/>
      <sz val="10"/>
      <color rgb="FF141414"/>
      <name val="Inherit"/>
    </font>
    <font>
      <b/>
      <sz val="12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0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2" xfId="0" applyBorder="1"/>
    <xf numFmtId="0" fontId="0" fillId="3" borderId="2" xfId="0" applyFill="1" applyBorder="1"/>
    <xf numFmtId="0" fontId="0" fillId="4" borderId="2" xfId="0" applyFill="1" applyBorder="1" applyAlignment="1">
      <alignment horizontal="center"/>
    </xf>
    <xf numFmtId="0" fontId="0" fillId="5" borderId="2" xfId="0" applyFill="1" applyBorder="1"/>
    <xf numFmtId="0" fontId="0" fillId="6" borderId="2" xfId="0" applyFill="1" applyBorder="1" applyAlignment="1">
      <alignment horizontal="center"/>
    </xf>
    <xf numFmtId="2" fontId="6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0" fillId="6" borderId="2" xfId="0" applyNumberFormat="1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7" borderId="2" xfId="0" applyFill="1" applyBorder="1" applyAlignment="1" applyProtection="1">
      <alignment horizontal="center" vertical="center"/>
      <protection locked="0"/>
    </xf>
    <xf numFmtId="0" fontId="0" fillId="7" borderId="2" xfId="0" applyFill="1" applyBorder="1" applyAlignment="1">
      <alignment horizontal="center" vertical="center"/>
    </xf>
    <xf numFmtId="2" fontId="0" fillId="7" borderId="2" xfId="0" applyNumberFormat="1" applyFill="1" applyBorder="1" applyAlignment="1">
      <alignment horizontal="center" vertical="center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0" fontId="0" fillId="3" borderId="2" xfId="1" applyNumberFormat="1" applyFont="1" applyFill="1" applyBorder="1" applyAlignment="1">
      <alignment horizontal="center" vertical="center"/>
    </xf>
    <xf numFmtId="10" fontId="0" fillId="5" borderId="2" xfId="1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4" fontId="0" fillId="7" borderId="2" xfId="0" applyNumberForma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7" borderId="2" xfId="0" applyFill="1" applyBorder="1"/>
    <xf numFmtId="0" fontId="0" fillId="7" borderId="2" xfId="0" applyFill="1" applyBorder="1" applyAlignment="1">
      <alignment horizontal="center"/>
    </xf>
    <xf numFmtId="0" fontId="0" fillId="7" borderId="2" xfId="0" applyFill="1" applyBorder="1" applyAlignment="1">
      <alignment vertical="center"/>
    </xf>
    <xf numFmtId="0" fontId="0" fillId="8" borderId="2" xfId="0" applyFill="1" applyBorder="1"/>
    <xf numFmtId="0" fontId="0" fillId="8" borderId="2" xfId="0" applyFill="1" applyBorder="1" applyAlignment="1">
      <alignment horizontal="center"/>
    </xf>
    <xf numFmtId="0" fontId="0" fillId="8" borderId="2" xfId="0" applyFill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12" fillId="9" borderId="2" xfId="0" applyFont="1" applyFill="1" applyBorder="1"/>
    <xf numFmtId="0" fontId="13" fillId="9" borderId="2" xfId="0" applyFont="1" applyFill="1" applyBorder="1" applyAlignment="1">
      <alignment horizontal="center" vertical="center"/>
    </xf>
    <xf numFmtId="10" fontId="13" fillId="9" borderId="2" xfId="0" applyNumberFormat="1" applyFont="1" applyFill="1" applyBorder="1" applyAlignment="1">
      <alignment horizontal="center" vertical="center"/>
    </xf>
    <xf numFmtId="2" fontId="14" fillId="10" borderId="3" xfId="0" applyNumberFormat="1" applyFont="1" applyFill="1" applyBorder="1" applyAlignment="1">
      <alignment horizontal="center" vertical="center" wrapText="1"/>
    </xf>
    <xf numFmtId="2" fontId="14" fillId="10" borderId="4" xfId="0" applyNumberFormat="1" applyFont="1" applyFill="1" applyBorder="1" applyAlignment="1">
      <alignment horizontal="center" vertical="center" wrapText="1"/>
    </xf>
    <xf numFmtId="2" fontId="14" fillId="10" borderId="5" xfId="0" applyNumberFormat="1" applyFont="1" applyFill="1" applyBorder="1" applyAlignment="1">
      <alignment horizontal="center" vertical="center" wrapText="1"/>
    </xf>
    <xf numFmtId="2" fontId="14" fillId="10" borderId="6" xfId="0" applyNumberFormat="1" applyFont="1" applyFill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2" fontId="0" fillId="0" borderId="0" xfId="0" applyNumberFormat="1" applyAlignment="1">
      <alignment vertical="center"/>
    </xf>
    <xf numFmtId="2" fontId="16" fillId="0" borderId="0" xfId="0" applyNumberFormat="1" applyFont="1" applyAlignment="1">
      <alignment vertical="center"/>
    </xf>
    <xf numFmtId="14" fontId="11" fillId="11" borderId="2" xfId="0" applyNumberFormat="1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2" xfId="0" applyFill="1" applyBorder="1" applyAlignment="1">
      <alignment vertical="center"/>
    </xf>
    <xf numFmtId="1" fontId="13" fillId="11" borderId="7" xfId="0" applyNumberFormat="1" applyFont="1" applyFill="1" applyBorder="1" applyAlignment="1">
      <alignment horizontal="center" vertical="center"/>
    </xf>
    <xf numFmtId="1" fontId="0" fillId="11" borderId="0" xfId="0" applyNumberFormat="1" applyFill="1" applyAlignment="1">
      <alignment horizontal="center" vertical="center"/>
    </xf>
    <xf numFmtId="2" fontId="0" fillId="0" borderId="7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14" fontId="0" fillId="6" borderId="8" xfId="0" applyNumberFormat="1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7" fillId="0" borderId="8" xfId="0" applyFont="1" applyBorder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2" fontId="0" fillId="0" borderId="7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11" borderId="0" xfId="0" applyFill="1" applyAlignment="1">
      <alignment horizontal="center" vertical="center" wrapText="1"/>
    </xf>
    <xf numFmtId="1" fontId="10" fillId="3" borderId="2" xfId="0" applyNumberFormat="1" applyFont="1" applyFill="1" applyBorder="1" applyAlignment="1">
      <alignment horizontal="center" vertical="center"/>
    </xf>
    <xf numFmtId="1" fontId="10" fillId="1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49" fontId="16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2" fontId="0" fillId="11" borderId="0" xfId="0" applyNumberFormat="1" applyFill="1" applyAlignment="1">
      <alignment horizontal="center" vertical="center"/>
    </xf>
    <xf numFmtId="0" fontId="0" fillId="13" borderId="0" xfId="0" applyFill="1"/>
    <xf numFmtId="2" fontId="0" fillId="0" borderId="0" xfId="0" applyNumberFormat="1"/>
    <xf numFmtId="1" fontId="13" fillId="11" borderId="7" xfId="0" applyNumberFormat="1" applyFont="1" applyFill="1" applyBorder="1" applyAlignment="1">
      <alignment vertical="center"/>
    </xf>
    <xf numFmtId="1" fontId="0" fillId="11" borderId="0" xfId="0" applyNumberFormat="1" applyFill="1" applyAlignment="1">
      <alignment vertical="center"/>
    </xf>
    <xf numFmtId="0" fontId="17" fillId="11" borderId="0" xfId="0" applyFont="1" applyFill="1"/>
    <xf numFmtId="14" fontId="11" fillId="14" borderId="2" xfId="0" applyNumberFormat="1" applyFont="1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2" xfId="0" applyFill="1" applyBorder="1" applyAlignment="1">
      <alignment vertical="center"/>
    </xf>
    <xf numFmtId="1" fontId="13" fillId="14" borderId="7" xfId="0" applyNumberFormat="1" applyFont="1" applyFill="1" applyBorder="1" applyAlignment="1">
      <alignment vertical="center"/>
    </xf>
    <xf numFmtId="1" fontId="0" fillId="14" borderId="0" xfId="0" applyNumberFormat="1" applyFill="1" applyAlignment="1">
      <alignment vertical="center"/>
    </xf>
    <xf numFmtId="0" fontId="0" fillId="14" borderId="0" xfId="0" applyFill="1"/>
    <xf numFmtId="0" fontId="18" fillId="0" borderId="0" xfId="0" applyFont="1"/>
    <xf numFmtId="0" fontId="10" fillId="0" borderId="0" xfId="0" applyFont="1"/>
    <xf numFmtId="10" fontId="0" fillId="0" borderId="0" xfId="0" applyNumberFormat="1"/>
    <xf numFmtId="0" fontId="0" fillId="15" borderId="2" xfId="0" applyFill="1" applyBorder="1" applyAlignment="1" applyProtection="1">
      <alignment horizontal="center" vertical="center"/>
      <protection locked="0"/>
    </xf>
    <xf numFmtId="0" fontId="0" fillId="16" borderId="0" xfId="0" applyFill="1"/>
    <xf numFmtId="0" fontId="0" fillId="17" borderId="0" xfId="0" applyFill="1"/>
    <xf numFmtId="0" fontId="0" fillId="17" borderId="0" xfId="0" applyFill="1" applyAlignment="1">
      <alignment horizontal="center" vertical="center"/>
    </xf>
    <xf numFmtId="0" fontId="0" fillId="17" borderId="9" xfId="0" applyFill="1" applyBorder="1" applyAlignment="1">
      <alignment horizontal="center" vertical="center"/>
    </xf>
    <xf numFmtId="2" fontId="0" fillId="17" borderId="0" xfId="0" applyNumberFormat="1" applyFill="1" applyAlignment="1">
      <alignment horizontal="center" vertical="center"/>
    </xf>
    <xf numFmtId="0" fontId="0" fillId="18" borderId="2" xfId="0" applyFill="1" applyBorder="1"/>
    <xf numFmtId="0" fontId="0" fillId="18" borderId="2" xfId="0" applyFill="1" applyBorder="1" applyAlignment="1">
      <alignment horizontal="center" vertical="center"/>
    </xf>
    <xf numFmtId="10" fontId="0" fillId="18" borderId="2" xfId="1" applyNumberFormat="1" applyFont="1" applyFill="1" applyBorder="1"/>
    <xf numFmtId="0" fontId="10" fillId="18" borderId="2" xfId="0" applyFont="1" applyFill="1" applyBorder="1"/>
    <xf numFmtId="2" fontId="0" fillId="18" borderId="2" xfId="0" applyNumberFormat="1" applyFill="1" applyBorder="1" applyAlignment="1">
      <alignment horizontal="center" vertical="center"/>
    </xf>
    <xf numFmtId="0" fontId="0" fillId="18" borderId="0" xfId="0" applyFill="1"/>
    <xf numFmtId="0" fontId="0" fillId="18" borderId="0" xfId="0" applyFill="1" applyAlignment="1">
      <alignment horizontal="center" vertical="center"/>
    </xf>
    <xf numFmtId="2" fontId="0" fillId="18" borderId="0" xfId="0" applyNumberFormat="1" applyFill="1" applyAlignment="1">
      <alignment horizontal="center" vertical="center"/>
    </xf>
    <xf numFmtId="0" fontId="10" fillId="18" borderId="10" xfId="0" applyFont="1" applyFill="1" applyBorder="1"/>
    <xf numFmtId="0" fontId="19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14" fontId="0" fillId="19" borderId="11" xfId="0" applyNumberForma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19" borderId="2" xfId="0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2" fontId="21" fillId="0" borderId="2" xfId="0" applyNumberFormat="1" applyFont="1" applyBorder="1" applyAlignment="1">
      <alignment horizontal="center" vertical="center" readingOrder="1"/>
    </xf>
    <xf numFmtId="2" fontId="0" fillId="0" borderId="2" xfId="0" applyNumberFormat="1" applyBorder="1" applyAlignment="1">
      <alignment horizontal="center"/>
    </xf>
    <xf numFmtId="2" fontId="22" fillId="0" borderId="2" xfId="0" applyNumberFormat="1" applyFont="1" applyBorder="1" applyAlignment="1">
      <alignment horizontal="center" vertical="center" readingOrder="1"/>
    </xf>
    <xf numFmtId="1" fontId="6" fillId="0" borderId="2" xfId="0" applyNumberFormat="1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23" fillId="0" borderId="12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10" fontId="0" fillId="0" borderId="2" xfId="1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34EFA-E813-413C-881E-E76C2CE54113}">
  <sheetPr>
    <tabColor theme="3"/>
  </sheetPr>
  <dimension ref="A1:Q259"/>
  <sheetViews>
    <sheetView tabSelected="1" topLeftCell="A208" zoomScale="130" zoomScaleNormal="130" workbookViewId="0">
      <selection activeCell="M95" sqref="M95:N95"/>
    </sheetView>
  </sheetViews>
  <sheetFormatPr baseColWidth="10" defaultRowHeight="12.75"/>
  <cols>
    <col min="1" max="1" width="14.7109375" customWidth="1"/>
    <col min="2" max="2" width="9.5703125" customWidth="1"/>
    <col min="3" max="5" width="10" customWidth="1"/>
    <col min="6" max="6" width="13" customWidth="1"/>
    <col min="7" max="7" width="9.85546875" customWidth="1"/>
    <col min="8" max="8" width="11.42578125" customWidth="1"/>
    <col min="9" max="9" width="21" customWidth="1"/>
    <col min="10" max="10" width="11.42578125" customWidth="1"/>
    <col min="11" max="11" width="7.5703125" customWidth="1"/>
    <col min="12" max="12" width="13" customWidth="1"/>
    <col min="13" max="13" width="19.140625" customWidth="1"/>
    <col min="15" max="15" width="13.28515625" customWidth="1"/>
  </cols>
  <sheetData>
    <row r="1" spans="1:12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8" customFormat="1" ht="29.25" customHeight="1">
      <c r="A2" s="3" t="s">
        <v>1</v>
      </c>
      <c r="B2" s="4"/>
      <c r="C2" s="4"/>
      <c r="D2" s="4"/>
      <c r="E2" s="5"/>
      <c r="F2" s="5"/>
      <c r="G2" s="5"/>
      <c r="H2" s="5"/>
      <c r="I2" s="6"/>
      <c r="J2" s="6"/>
      <c r="K2" s="6"/>
      <c r="L2" s="7"/>
    </row>
    <row r="3" spans="1:12">
      <c r="A3" s="9"/>
      <c r="B3" s="10" t="s">
        <v>2</v>
      </c>
      <c r="C3" s="10"/>
      <c r="D3" s="11">
        <v>0.1154</v>
      </c>
      <c r="E3" s="12" t="s">
        <v>3</v>
      </c>
      <c r="F3" s="12"/>
      <c r="G3" s="13">
        <v>7.3400000000000007E-2</v>
      </c>
      <c r="H3" s="13"/>
      <c r="I3" s="12" t="s">
        <v>4</v>
      </c>
      <c r="J3" s="6">
        <v>19.36</v>
      </c>
      <c r="K3" s="9"/>
      <c r="L3" s="14"/>
    </row>
    <row r="4" spans="1:12" s="22" customFormat="1" ht="36.75" customHeight="1">
      <c r="A4" s="15" t="s">
        <v>5</v>
      </c>
      <c r="B4" s="16" t="s">
        <v>6</v>
      </c>
      <c r="C4" s="16" t="s">
        <v>7</v>
      </c>
      <c r="D4" s="16" t="s">
        <v>8</v>
      </c>
      <c r="E4" s="17" t="s">
        <v>9</v>
      </c>
      <c r="F4" s="17" t="s">
        <v>7</v>
      </c>
      <c r="G4" s="17" t="s">
        <v>8</v>
      </c>
      <c r="H4" s="18" t="s">
        <v>10</v>
      </c>
      <c r="I4" s="19" t="s">
        <v>11</v>
      </c>
      <c r="J4" s="20" t="s">
        <v>12</v>
      </c>
      <c r="K4" s="21" t="s">
        <v>13</v>
      </c>
      <c r="L4" s="15" t="s">
        <v>14</v>
      </c>
    </row>
    <row r="5" spans="1:12" s="29" customFormat="1" ht="18" customHeight="1">
      <c r="A5" s="23">
        <v>39595</v>
      </c>
      <c r="B5" s="24">
        <v>10195</v>
      </c>
      <c r="C5" s="25"/>
      <c r="D5" s="25"/>
      <c r="E5" s="24">
        <v>35462</v>
      </c>
      <c r="F5" s="26"/>
      <c r="G5" s="26"/>
      <c r="H5" s="26"/>
      <c r="I5" s="27" t="s">
        <v>15</v>
      </c>
      <c r="J5" s="14"/>
      <c r="K5" s="28"/>
      <c r="L5" s="28"/>
    </row>
    <row r="6" spans="1:12" s="29" customFormat="1" ht="18" customHeight="1">
      <c r="A6" s="23">
        <v>39605</v>
      </c>
      <c r="B6" s="24">
        <v>10439</v>
      </c>
      <c r="C6" s="25">
        <f>IF(B6&gt;0,B6-B5," ")</f>
        <v>244</v>
      </c>
      <c r="D6" s="30">
        <f>IF(B6&gt;0,$D$3*C6," ")</f>
        <v>28.157600000000002</v>
      </c>
      <c r="E6" s="24">
        <v>35570</v>
      </c>
      <c r="F6" s="26">
        <f>IF(E6&gt;0,E6-E5," ")</f>
        <v>108</v>
      </c>
      <c r="G6" s="31">
        <f>IF(E6&gt;0,$G$3*F6," ")</f>
        <v>7.9272000000000009</v>
      </c>
      <c r="H6" s="31">
        <f>$J$3/30*K6</f>
        <v>5.8079999999999998</v>
      </c>
      <c r="I6" s="27"/>
      <c r="J6" s="32">
        <f>IF(B6&gt;0,D6+G6+H6," ")</f>
        <v>41.892800000000001</v>
      </c>
      <c r="K6" s="33">
        <f>DAYS360(A5,A6)</f>
        <v>9</v>
      </c>
      <c r="L6" s="32">
        <f t="shared" ref="L6:L18" si="0">J6/K6</f>
        <v>4.654755555555556</v>
      </c>
    </row>
    <row r="7" spans="1:12" s="29" customFormat="1" ht="18" customHeight="1">
      <c r="A7" s="23">
        <v>39614</v>
      </c>
      <c r="B7" s="24">
        <v>10664</v>
      </c>
      <c r="C7" s="25">
        <f>IF(B7&gt;0,B7-B6," ")</f>
        <v>225</v>
      </c>
      <c r="D7" s="30">
        <f>IF(B7&gt;0,$D$3*C7," ")</f>
        <v>25.965</v>
      </c>
      <c r="E7" s="24">
        <v>35679</v>
      </c>
      <c r="F7" s="26">
        <f t="shared" ref="F7:F50" si="1">IF(E7&gt;0,E7-E6," ")</f>
        <v>109</v>
      </c>
      <c r="G7" s="31">
        <f>IF(E7&gt;0,$G$3*F7," ")</f>
        <v>8.0006000000000004</v>
      </c>
      <c r="H7" s="31">
        <f>$J$3/30*K7</f>
        <v>5.8079999999999998</v>
      </c>
      <c r="I7" s="27"/>
      <c r="J7" s="32">
        <f>IF(B7&gt;0,D7+G7+H7," ")</f>
        <v>39.773600000000002</v>
      </c>
      <c r="K7" s="33">
        <f t="shared" ref="K7:K44" si="2">DAYS360(A6,A7)</f>
        <v>9</v>
      </c>
      <c r="L7" s="32">
        <f t="shared" si="0"/>
        <v>4.4192888888888895</v>
      </c>
    </row>
    <row r="8" spans="1:12" s="29" customFormat="1" ht="18" customHeight="1">
      <c r="A8" s="23">
        <v>39625</v>
      </c>
      <c r="B8" s="34">
        <v>10879</v>
      </c>
      <c r="C8" s="35">
        <f>IF(B8&gt;0,B8-B7," ")</f>
        <v>215</v>
      </c>
      <c r="D8" s="36">
        <f t="shared" ref="D8:D35" si="3">IF(B8&gt;0,$D$3*C8," ")</f>
        <v>24.811</v>
      </c>
      <c r="E8" s="34">
        <v>35779</v>
      </c>
      <c r="F8" s="35">
        <f t="shared" si="1"/>
        <v>100</v>
      </c>
      <c r="G8" s="36">
        <f t="shared" ref="G8:G35" si="4">IF(E8&gt;0,$G$3*F8," ")</f>
        <v>7.3400000000000007</v>
      </c>
      <c r="H8" s="31"/>
      <c r="I8" s="27" t="s">
        <v>16</v>
      </c>
      <c r="J8" s="32">
        <f>IF(B8&gt;0,D8+G8+H8," ")</f>
        <v>32.151000000000003</v>
      </c>
      <c r="K8" s="33">
        <f t="shared" si="2"/>
        <v>11</v>
      </c>
      <c r="L8" s="32">
        <f t="shared" si="0"/>
        <v>2.9228181818181822</v>
      </c>
    </row>
    <row r="9" spans="1:12" s="29" customFormat="1" ht="18" customHeight="1">
      <c r="A9" s="37"/>
      <c r="B9" s="38"/>
      <c r="C9" s="28"/>
      <c r="D9" s="32"/>
      <c r="E9" s="38"/>
      <c r="F9" s="28"/>
      <c r="G9" s="32"/>
      <c r="H9" s="32"/>
      <c r="I9" s="27"/>
      <c r="J9" s="32"/>
      <c r="K9" s="33"/>
      <c r="L9" s="32"/>
    </row>
    <row r="10" spans="1:12" s="29" customFormat="1" ht="21.75" customHeight="1">
      <c r="A10" s="23">
        <v>39655</v>
      </c>
      <c r="B10" s="24">
        <v>11525</v>
      </c>
      <c r="C10" s="25">
        <f>IF(B10&gt;0,B10-B8," ")</f>
        <v>646</v>
      </c>
      <c r="D10" s="30">
        <f t="shared" si="3"/>
        <v>74.548400000000001</v>
      </c>
      <c r="E10" s="24">
        <v>36052</v>
      </c>
      <c r="F10" s="26">
        <f>IF(E10&gt;0,E10-E8," ")</f>
        <v>273</v>
      </c>
      <c r="G10" s="31">
        <f t="shared" si="4"/>
        <v>20.038200000000003</v>
      </c>
      <c r="H10" s="31">
        <f t="shared" ref="H10:H25" si="5">$J$3/30*K10</f>
        <v>19.36</v>
      </c>
      <c r="I10" s="27"/>
      <c r="J10" s="32">
        <f>IF(B10&gt;0,D10+G10+H10," ")</f>
        <v>113.9466</v>
      </c>
      <c r="K10" s="33">
        <f>DAYS360(A8,A10)</f>
        <v>30</v>
      </c>
      <c r="L10" s="32">
        <f t="shared" si="0"/>
        <v>3.7982200000000002</v>
      </c>
    </row>
    <row r="11" spans="1:12" s="29" customFormat="1" ht="21.75" customHeight="1">
      <c r="A11" s="23">
        <v>39694</v>
      </c>
      <c r="B11" s="24">
        <v>12145</v>
      </c>
      <c r="C11" s="25">
        <f t="shared" ref="C11:C50" si="6">IF(B11&gt;0,B11-B10," ")</f>
        <v>620</v>
      </c>
      <c r="D11" s="39">
        <f>(C11-C10)/C10</f>
        <v>-4.0247678018575851E-2</v>
      </c>
      <c r="E11" s="24">
        <v>36372</v>
      </c>
      <c r="F11" s="40">
        <f>(E11-E10)/E10</f>
        <v>8.8760679019194502E-3</v>
      </c>
      <c r="G11" s="31">
        <f t="shared" si="4"/>
        <v>6.5150338400088773E-4</v>
      </c>
      <c r="H11" s="31">
        <f t="shared" si="5"/>
        <v>23.877333333333333</v>
      </c>
      <c r="I11" s="27"/>
      <c r="J11" s="32">
        <f t="shared" ref="J11:J25" si="7">IF(B11&gt;0,D11+G11+H11," ")</f>
        <v>23.837737158698758</v>
      </c>
      <c r="K11" s="33">
        <f t="shared" si="2"/>
        <v>37</v>
      </c>
      <c r="L11" s="32">
        <f t="shared" si="0"/>
        <v>0.64426316645131776</v>
      </c>
    </row>
    <row r="12" spans="1:12" s="29" customFormat="1" ht="21.75" customHeight="1">
      <c r="A12" s="23">
        <v>39724</v>
      </c>
      <c r="B12" s="24">
        <v>12987</v>
      </c>
      <c r="C12" s="25">
        <f t="shared" si="6"/>
        <v>842</v>
      </c>
      <c r="D12" s="39">
        <f>(C12-C11)/C11</f>
        <v>0.35806451612903228</v>
      </c>
      <c r="E12" s="24">
        <v>36777</v>
      </c>
      <c r="F12" s="40">
        <f>IF(E12&gt;1,(E12-E11)/E11," ")</f>
        <v>1.1134938964038272E-2</v>
      </c>
      <c r="G12" s="31">
        <f t="shared" si="4"/>
        <v>8.1730451996040918E-4</v>
      </c>
      <c r="H12" s="31">
        <f t="shared" si="5"/>
        <v>19.36</v>
      </c>
      <c r="I12" s="27"/>
      <c r="J12" s="32">
        <f t="shared" si="7"/>
        <v>19.718881820648992</v>
      </c>
      <c r="K12" s="33">
        <f t="shared" si="2"/>
        <v>30</v>
      </c>
      <c r="L12" s="32">
        <f t="shared" si="0"/>
        <v>0.65729606068829971</v>
      </c>
    </row>
    <row r="13" spans="1:12" s="29" customFormat="1" ht="21.75" customHeight="1">
      <c r="A13" s="23"/>
      <c r="B13" s="24"/>
      <c r="C13" s="25"/>
      <c r="D13" s="39" t="str">
        <f>IF(C13&gt;0.01,(C13-C12)/C12," ")</f>
        <v xml:space="preserve"> </v>
      </c>
      <c r="E13" s="24"/>
      <c r="F13" s="40" t="str">
        <f t="shared" ref="F13:F27" si="8">IF(E13&gt;1,(E13-E12)/E12," ")</f>
        <v xml:space="preserve"> </v>
      </c>
      <c r="G13" s="31" t="str">
        <f t="shared" si="4"/>
        <v xml:space="preserve"> </v>
      </c>
      <c r="H13" s="31">
        <f t="shared" si="5"/>
        <v>-25266.736000000001</v>
      </c>
      <c r="I13" s="27"/>
      <c r="J13" s="32" t="str">
        <f t="shared" si="7"/>
        <v xml:space="preserve"> </v>
      </c>
      <c r="K13" s="33">
        <f t="shared" si="2"/>
        <v>-39153</v>
      </c>
      <c r="L13" s="32" t="e">
        <f t="shared" si="0"/>
        <v>#VALUE!</v>
      </c>
    </row>
    <row r="14" spans="1:12" s="29" customFormat="1" ht="21.75" customHeight="1">
      <c r="A14" s="23"/>
      <c r="B14" s="24"/>
      <c r="C14" s="25"/>
      <c r="D14" s="39" t="str">
        <f t="shared" ref="D14:D27" si="9">IF(C14&gt;0.01,(C14-C13)/C13," ")</f>
        <v xml:space="preserve"> </v>
      </c>
      <c r="E14" s="24"/>
      <c r="F14" s="40" t="str">
        <f t="shared" si="8"/>
        <v xml:space="preserve"> </v>
      </c>
      <c r="G14" s="31" t="str">
        <f t="shared" si="4"/>
        <v xml:space="preserve"> </v>
      </c>
      <c r="H14" s="31">
        <f t="shared" si="5"/>
        <v>0</v>
      </c>
      <c r="I14" s="27"/>
      <c r="J14" s="32" t="str">
        <f t="shared" si="7"/>
        <v xml:space="preserve"> </v>
      </c>
      <c r="K14" s="33">
        <f t="shared" si="2"/>
        <v>0</v>
      </c>
      <c r="L14" s="32" t="e">
        <f t="shared" si="0"/>
        <v>#VALUE!</v>
      </c>
    </row>
    <row r="15" spans="1:12" s="29" customFormat="1" ht="21.75" customHeight="1">
      <c r="A15" s="23"/>
      <c r="B15" s="24"/>
      <c r="C15" s="25"/>
      <c r="D15" s="39" t="str">
        <f t="shared" si="9"/>
        <v xml:space="preserve"> </v>
      </c>
      <c r="E15" s="24"/>
      <c r="F15" s="40" t="str">
        <f t="shared" si="8"/>
        <v xml:space="preserve"> </v>
      </c>
      <c r="G15" s="31" t="str">
        <f t="shared" si="4"/>
        <v xml:space="preserve"> </v>
      </c>
      <c r="H15" s="31">
        <f t="shared" si="5"/>
        <v>0</v>
      </c>
      <c r="I15" s="41" t="s">
        <v>17</v>
      </c>
      <c r="J15" s="32" t="str">
        <f t="shared" si="7"/>
        <v xml:space="preserve"> </v>
      </c>
      <c r="K15" s="33">
        <f t="shared" si="2"/>
        <v>0</v>
      </c>
      <c r="L15" s="32" t="e">
        <f t="shared" si="0"/>
        <v>#VALUE!</v>
      </c>
    </row>
    <row r="16" spans="1:12" s="29" customFormat="1" ht="21.75" customHeight="1">
      <c r="A16" s="23"/>
      <c r="B16" s="24"/>
      <c r="C16" s="25"/>
      <c r="D16" s="39" t="str">
        <f t="shared" si="9"/>
        <v xml:space="preserve"> </v>
      </c>
      <c r="E16" s="24"/>
      <c r="F16" s="40" t="str">
        <f t="shared" si="8"/>
        <v xml:space="preserve"> </v>
      </c>
      <c r="G16" s="31" t="str">
        <f t="shared" si="4"/>
        <v xml:space="preserve"> </v>
      </c>
      <c r="H16" s="31">
        <f t="shared" si="5"/>
        <v>0</v>
      </c>
      <c r="I16" s="27"/>
      <c r="J16" s="32" t="str">
        <f t="shared" si="7"/>
        <v xml:space="preserve"> </v>
      </c>
      <c r="K16" s="33">
        <f t="shared" si="2"/>
        <v>0</v>
      </c>
      <c r="L16" s="32" t="e">
        <f t="shared" si="0"/>
        <v>#VALUE!</v>
      </c>
    </row>
    <row r="17" spans="1:12" s="29" customFormat="1" ht="21.75" customHeight="1">
      <c r="A17" s="23"/>
      <c r="B17" s="24"/>
      <c r="C17" s="25"/>
      <c r="D17" s="39" t="str">
        <f t="shared" si="9"/>
        <v xml:space="preserve"> </v>
      </c>
      <c r="E17" s="24"/>
      <c r="F17" s="40" t="str">
        <f t="shared" si="8"/>
        <v xml:space="preserve"> </v>
      </c>
      <c r="G17" s="31" t="str">
        <f t="shared" si="4"/>
        <v xml:space="preserve"> </v>
      </c>
      <c r="H17" s="31">
        <f t="shared" si="5"/>
        <v>0</v>
      </c>
      <c r="I17" s="27"/>
      <c r="J17" s="32" t="str">
        <f t="shared" si="7"/>
        <v xml:space="preserve"> </v>
      </c>
      <c r="K17" s="33">
        <f t="shared" si="2"/>
        <v>0</v>
      </c>
      <c r="L17" s="32" t="e">
        <f t="shared" si="0"/>
        <v>#VALUE!</v>
      </c>
    </row>
    <row r="18" spans="1:12" s="29" customFormat="1" ht="21.75" customHeight="1">
      <c r="A18" s="23"/>
      <c r="B18" s="24"/>
      <c r="C18" s="25"/>
      <c r="D18" s="39" t="str">
        <f t="shared" si="9"/>
        <v xml:space="preserve"> </v>
      </c>
      <c r="E18" s="24"/>
      <c r="F18" s="40" t="str">
        <f t="shared" si="8"/>
        <v xml:space="preserve"> </v>
      </c>
      <c r="G18" s="31" t="str">
        <f t="shared" si="4"/>
        <v xml:space="preserve"> </v>
      </c>
      <c r="H18" s="31">
        <f t="shared" si="5"/>
        <v>0</v>
      </c>
      <c r="I18" s="27"/>
      <c r="J18" s="32" t="str">
        <f t="shared" si="7"/>
        <v xml:space="preserve"> </v>
      </c>
      <c r="K18" s="33">
        <f t="shared" si="2"/>
        <v>0</v>
      </c>
      <c r="L18" s="32" t="e">
        <f t="shared" si="0"/>
        <v>#VALUE!</v>
      </c>
    </row>
    <row r="19" spans="1:12" s="29" customFormat="1" ht="21.75" customHeight="1">
      <c r="A19" s="23"/>
      <c r="B19" s="24"/>
      <c r="C19" s="25"/>
      <c r="D19" s="39" t="str">
        <f t="shared" si="9"/>
        <v xml:space="preserve"> </v>
      </c>
      <c r="E19" s="24"/>
      <c r="F19" s="40" t="str">
        <f t="shared" si="8"/>
        <v xml:space="preserve"> </v>
      </c>
      <c r="G19" s="31" t="str">
        <f t="shared" si="4"/>
        <v xml:space="preserve"> </v>
      </c>
      <c r="H19" s="31">
        <f t="shared" si="5"/>
        <v>0</v>
      </c>
      <c r="I19" s="27"/>
      <c r="J19" s="32" t="str">
        <f t="shared" si="7"/>
        <v xml:space="preserve"> </v>
      </c>
      <c r="K19" s="33">
        <f t="shared" si="2"/>
        <v>0</v>
      </c>
      <c r="L19" s="32" t="str">
        <f>IF(B19&gt;0,J19/K19," ")</f>
        <v xml:space="preserve"> </v>
      </c>
    </row>
    <row r="20" spans="1:12" s="29" customFormat="1" ht="21.75" customHeight="1">
      <c r="A20" s="23"/>
      <c r="B20" s="24"/>
      <c r="C20" s="25"/>
      <c r="D20" s="39" t="str">
        <f t="shared" si="9"/>
        <v xml:space="preserve"> </v>
      </c>
      <c r="E20" s="24"/>
      <c r="F20" s="40" t="str">
        <f t="shared" si="8"/>
        <v xml:space="preserve"> </v>
      </c>
      <c r="G20" s="31" t="str">
        <f t="shared" si="4"/>
        <v xml:space="preserve"> </v>
      </c>
      <c r="H20" s="31">
        <f t="shared" si="5"/>
        <v>0</v>
      </c>
      <c r="I20" s="27"/>
      <c r="J20" s="32" t="str">
        <f t="shared" si="7"/>
        <v xml:space="preserve"> </v>
      </c>
      <c r="K20" s="33">
        <f t="shared" si="2"/>
        <v>0</v>
      </c>
      <c r="L20" s="32" t="str">
        <f t="shared" ref="L20:L46" si="10">IF(B20&gt;0,J20/K20," ")</f>
        <v xml:space="preserve"> </v>
      </c>
    </row>
    <row r="21" spans="1:12" s="29" customFormat="1" ht="21.75" customHeight="1">
      <c r="A21" s="23">
        <v>39875</v>
      </c>
      <c r="B21" s="24">
        <v>20400</v>
      </c>
      <c r="C21" s="25">
        <f t="shared" si="6"/>
        <v>20400</v>
      </c>
      <c r="D21" s="39" t="e">
        <f t="shared" si="9"/>
        <v>#DIV/0!</v>
      </c>
      <c r="E21" s="24">
        <v>40255</v>
      </c>
      <c r="F21" s="40" t="e">
        <f t="shared" si="8"/>
        <v>#DIV/0!</v>
      </c>
      <c r="G21" s="31" t="e">
        <f t="shared" si="4"/>
        <v>#DIV/0!</v>
      </c>
      <c r="H21" s="31">
        <f t="shared" si="5"/>
        <v>25363.536</v>
      </c>
      <c r="I21" s="27"/>
      <c r="J21" s="32" t="e">
        <f t="shared" si="7"/>
        <v>#DIV/0!</v>
      </c>
      <c r="K21" s="33">
        <f t="shared" si="2"/>
        <v>39303</v>
      </c>
      <c r="L21" s="32" t="e">
        <f t="shared" si="10"/>
        <v>#DIV/0!</v>
      </c>
    </row>
    <row r="22" spans="1:12" s="29" customFormat="1" ht="21.75" customHeight="1">
      <c r="A22" s="23">
        <v>39906</v>
      </c>
      <c r="B22" s="24">
        <v>21691</v>
      </c>
      <c r="C22" s="25">
        <f t="shared" si="6"/>
        <v>1291</v>
      </c>
      <c r="D22" s="39">
        <f t="shared" si="9"/>
        <v>-0.93671568627450985</v>
      </c>
      <c r="E22" s="24">
        <v>40926</v>
      </c>
      <c r="F22" s="40">
        <f t="shared" si="8"/>
        <v>1.6668736802881629E-2</v>
      </c>
      <c r="G22" s="31">
        <f t="shared" si="4"/>
        <v>1.2234852813315118E-3</v>
      </c>
      <c r="H22" s="31">
        <f t="shared" si="5"/>
        <v>19.36</v>
      </c>
      <c r="I22" s="27"/>
      <c r="J22" s="32">
        <f t="shared" si="7"/>
        <v>18.424507799006822</v>
      </c>
      <c r="K22" s="33">
        <f t="shared" si="2"/>
        <v>30</v>
      </c>
      <c r="L22" s="32">
        <f t="shared" si="10"/>
        <v>0.6141502599668941</v>
      </c>
    </row>
    <row r="23" spans="1:12" s="29" customFormat="1" ht="21.75" customHeight="1">
      <c r="A23" s="23">
        <v>39936</v>
      </c>
      <c r="B23" s="24">
        <v>22432</v>
      </c>
      <c r="C23" s="25">
        <f t="shared" si="6"/>
        <v>741</v>
      </c>
      <c r="D23" s="39">
        <f t="shared" si="9"/>
        <v>-0.42602633617350893</v>
      </c>
      <c r="E23" s="24">
        <v>41410</v>
      </c>
      <c r="F23" s="40">
        <f t="shared" si="8"/>
        <v>1.1826222938963007E-2</v>
      </c>
      <c r="G23" s="31">
        <f t="shared" si="4"/>
        <v>8.6804476371988486E-4</v>
      </c>
      <c r="H23" s="31">
        <f t="shared" si="5"/>
        <v>19.36</v>
      </c>
      <c r="I23" s="27"/>
      <c r="J23" s="32">
        <f t="shared" si="7"/>
        <v>18.934841708590209</v>
      </c>
      <c r="K23" s="33">
        <f t="shared" si="2"/>
        <v>30</v>
      </c>
      <c r="L23" s="32">
        <f t="shared" si="10"/>
        <v>0.63116139028634033</v>
      </c>
    </row>
    <row r="24" spans="1:12" s="29" customFormat="1" ht="21.75" customHeight="1">
      <c r="A24" s="23">
        <v>39967</v>
      </c>
      <c r="B24" s="24">
        <v>22976</v>
      </c>
      <c r="C24" s="25">
        <f t="shared" si="6"/>
        <v>544</v>
      </c>
      <c r="D24" s="39">
        <f t="shared" si="9"/>
        <v>-0.26585695006747639</v>
      </c>
      <c r="E24" s="24">
        <v>41755</v>
      </c>
      <c r="F24" s="40">
        <f t="shared" si="8"/>
        <v>8.3313209369717464E-3</v>
      </c>
      <c r="G24" s="31">
        <f t="shared" si="4"/>
        <v>6.1151895677372624E-4</v>
      </c>
      <c r="H24" s="31">
        <f t="shared" si="5"/>
        <v>19.36</v>
      </c>
      <c r="I24" s="27"/>
      <c r="J24" s="32">
        <f t="shared" si="7"/>
        <v>19.094754568889297</v>
      </c>
      <c r="K24" s="33">
        <f t="shared" si="2"/>
        <v>30</v>
      </c>
      <c r="L24" s="32">
        <f t="shared" si="10"/>
        <v>0.63649181896297657</v>
      </c>
    </row>
    <row r="25" spans="1:12" s="29" customFormat="1" ht="21.75" customHeight="1">
      <c r="A25" s="42">
        <v>39989</v>
      </c>
      <c r="B25" s="34">
        <v>23393</v>
      </c>
      <c r="C25" s="35">
        <f t="shared" si="6"/>
        <v>417</v>
      </c>
      <c r="D25" s="39">
        <f t="shared" si="9"/>
        <v>-0.23345588235294118</v>
      </c>
      <c r="E25" s="34">
        <v>41962</v>
      </c>
      <c r="F25" s="40">
        <f t="shared" si="8"/>
        <v>4.9574901209435999E-3</v>
      </c>
      <c r="G25" s="36">
        <f t="shared" si="4"/>
        <v>3.6387977487726029E-4</v>
      </c>
      <c r="H25" s="31">
        <f t="shared" si="5"/>
        <v>14.197333333333333</v>
      </c>
      <c r="I25" s="27" t="s">
        <v>16</v>
      </c>
      <c r="J25" s="32">
        <f t="shared" si="7"/>
        <v>13.96424133075527</v>
      </c>
      <c r="K25" s="33">
        <f t="shared" si="2"/>
        <v>22</v>
      </c>
      <c r="L25" s="32">
        <f t="shared" si="10"/>
        <v>0.63473824230705767</v>
      </c>
    </row>
    <row r="26" spans="1:12" s="29" customFormat="1" ht="21.75" customHeight="1">
      <c r="A26" s="37"/>
      <c r="B26" s="38"/>
      <c r="C26" s="28">
        <f>SUM(C10:C25)</f>
        <v>25501</v>
      </c>
      <c r="D26" s="39">
        <f t="shared" si="9"/>
        <v>60.153477218225419</v>
      </c>
      <c r="E26" s="38"/>
      <c r="F26" s="40" t="str">
        <f t="shared" si="8"/>
        <v xml:space="preserve"> </v>
      </c>
      <c r="G26" s="32" t="e">
        <f>SUM(G10:G25)</f>
        <v>#DIV/0!</v>
      </c>
      <c r="H26" s="32">
        <f>SUM(H10:H25)</f>
        <v>231.67466666666763</v>
      </c>
      <c r="I26" s="43" t="s">
        <v>18</v>
      </c>
      <c r="J26" s="32" t="e">
        <f>D26+G26+H26</f>
        <v>#DIV/0!</v>
      </c>
      <c r="K26" s="33"/>
      <c r="L26" s="32"/>
    </row>
    <row r="27" spans="1:12" s="29" customFormat="1" ht="21.75" customHeight="1">
      <c r="A27" s="37"/>
      <c r="B27" s="38"/>
      <c r="C27" s="28"/>
      <c r="D27" s="39" t="str">
        <f t="shared" si="9"/>
        <v xml:space="preserve"> </v>
      </c>
      <c r="E27" s="38"/>
      <c r="F27" s="40" t="str">
        <f t="shared" si="8"/>
        <v xml:space="preserve"> </v>
      </c>
      <c r="G27" s="32"/>
      <c r="H27" s="32"/>
      <c r="I27" s="44"/>
      <c r="J27" s="32"/>
      <c r="K27" s="33"/>
      <c r="L27" s="32"/>
    </row>
    <row r="28" spans="1:12" s="29" customFormat="1" ht="21.75" customHeight="1">
      <c r="A28" s="23">
        <v>40001</v>
      </c>
      <c r="B28" s="24">
        <v>23678</v>
      </c>
      <c r="C28" s="25">
        <f>IF(B28&gt;0,B28-B25," ")</f>
        <v>285</v>
      </c>
      <c r="D28" s="30">
        <f t="shared" si="3"/>
        <v>32.889000000000003</v>
      </c>
      <c r="E28" s="24">
        <v>42082</v>
      </c>
      <c r="F28" s="26">
        <f>IF(E28&gt;0,E28-E25," ")</f>
        <v>120</v>
      </c>
      <c r="G28" s="31">
        <f t="shared" si="4"/>
        <v>8.8080000000000016</v>
      </c>
      <c r="H28" s="31">
        <f t="shared" ref="H28:H44" si="11">$J$3/30*K28</f>
        <v>7.7439999999999998</v>
      </c>
      <c r="I28" s="27"/>
      <c r="J28" s="32">
        <f t="shared" ref="J28:J40" si="12">IF(B28&gt;0,D28+G28+H28," ")</f>
        <v>49.441000000000003</v>
      </c>
      <c r="K28" s="33">
        <f>DAYS360(A25,A28)</f>
        <v>12</v>
      </c>
      <c r="L28" s="32">
        <f t="shared" si="10"/>
        <v>4.1200833333333335</v>
      </c>
    </row>
    <row r="29" spans="1:12" s="29" customFormat="1" ht="21.75" customHeight="1">
      <c r="A29" s="23">
        <v>40028</v>
      </c>
      <c r="B29" s="24">
        <v>24328</v>
      </c>
      <c r="C29" s="25">
        <f t="shared" si="6"/>
        <v>650</v>
      </c>
      <c r="D29" s="30">
        <f t="shared" si="3"/>
        <v>75.010000000000005</v>
      </c>
      <c r="E29" s="24">
        <v>42406</v>
      </c>
      <c r="F29" s="26">
        <f t="shared" si="1"/>
        <v>324</v>
      </c>
      <c r="G29" s="31">
        <f t="shared" si="4"/>
        <v>23.781600000000001</v>
      </c>
      <c r="H29" s="31">
        <f t="shared" si="11"/>
        <v>16.778666666666666</v>
      </c>
      <c r="I29" s="27"/>
      <c r="J29" s="32">
        <f t="shared" si="12"/>
        <v>115.57026666666667</v>
      </c>
      <c r="K29" s="33">
        <f t="shared" si="2"/>
        <v>26</v>
      </c>
      <c r="L29" s="32">
        <f t="shared" si="10"/>
        <v>4.4450102564102565</v>
      </c>
    </row>
    <row r="30" spans="1:12" s="29" customFormat="1" ht="21.75" customHeight="1">
      <c r="A30" s="23">
        <v>40059</v>
      </c>
      <c r="B30" s="24">
        <v>25032</v>
      </c>
      <c r="C30" s="25">
        <f t="shared" si="6"/>
        <v>704</v>
      </c>
      <c r="D30" s="30">
        <f t="shared" si="3"/>
        <v>81.241600000000005</v>
      </c>
      <c r="E30" s="24">
        <v>42775</v>
      </c>
      <c r="F30" s="26">
        <f t="shared" si="1"/>
        <v>369</v>
      </c>
      <c r="G30" s="31">
        <f t="shared" si="4"/>
        <v>27.084600000000002</v>
      </c>
      <c r="H30" s="31">
        <f t="shared" si="11"/>
        <v>19.36</v>
      </c>
      <c r="I30" s="27"/>
      <c r="J30" s="32">
        <f t="shared" si="12"/>
        <v>127.6862</v>
      </c>
      <c r="K30" s="33">
        <f t="shared" si="2"/>
        <v>30</v>
      </c>
      <c r="L30" s="32">
        <f t="shared" si="10"/>
        <v>4.2562066666666665</v>
      </c>
    </row>
    <row r="31" spans="1:12" s="29" customFormat="1" ht="21.75" customHeight="1">
      <c r="A31" s="23">
        <v>40103</v>
      </c>
      <c r="B31" s="24">
        <v>25572</v>
      </c>
      <c r="C31" s="25">
        <f t="shared" si="6"/>
        <v>540</v>
      </c>
      <c r="D31" s="30">
        <f t="shared" si="3"/>
        <v>62.316000000000003</v>
      </c>
      <c r="E31" s="24">
        <v>43144</v>
      </c>
      <c r="F31" s="26">
        <f t="shared" si="1"/>
        <v>369</v>
      </c>
      <c r="G31" s="31">
        <f t="shared" si="4"/>
        <v>27.084600000000002</v>
      </c>
      <c r="H31" s="31">
        <f t="shared" si="11"/>
        <v>28.394666666666666</v>
      </c>
      <c r="I31" s="27"/>
      <c r="J31" s="32">
        <f t="shared" si="12"/>
        <v>117.79526666666666</v>
      </c>
      <c r="K31" s="33">
        <f t="shared" si="2"/>
        <v>44</v>
      </c>
      <c r="L31" s="32">
        <f t="shared" si="10"/>
        <v>2.6771651515151516</v>
      </c>
    </row>
    <row r="32" spans="1:12" s="29" customFormat="1" ht="21.75" customHeight="1">
      <c r="A32" s="23">
        <v>40120</v>
      </c>
      <c r="B32" s="24">
        <v>26158</v>
      </c>
      <c r="C32" s="25">
        <f t="shared" si="6"/>
        <v>586</v>
      </c>
      <c r="D32" s="30">
        <f t="shared" si="3"/>
        <v>67.624400000000009</v>
      </c>
      <c r="E32" s="24">
        <v>43470</v>
      </c>
      <c r="F32" s="26">
        <f t="shared" si="1"/>
        <v>326</v>
      </c>
      <c r="G32" s="31">
        <f t="shared" si="4"/>
        <v>23.928400000000003</v>
      </c>
      <c r="H32" s="31">
        <f t="shared" si="11"/>
        <v>10.325333333333333</v>
      </c>
      <c r="I32" s="27"/>
      <c r="J32" s="32">
        <f t="shared" si="12"/>
        <v>101.87813333333335</v>
      </c>
      <c r="K32" s="33">
        <f t="shared" si="2"/>
        <v>16</v>
      </c>
      <c r="L32" s="32">
        <f t="shared" si="10"/>
        <v>6.3673833333333345</v>
      </c>
    </row>
    <row r="33" spans="1:13" s="29" customFormat="1" ht="21.75" customHeight="1">
      <c r="A33" s="23">
        <v>40150</v>
      </c>
      <c r="B33" s="24">
        <v>27224</v>
      </c>
      <c r="C33" s="25">
        <f t="shared" si="6"/>
        <v>1066</v>
      </c>
      <c r="D33" s="30">
        <f t="shared" si="3"/>
        <v>123.0164</v>
      </c>
      <c r="E33" s="24">
        <v>44063</v>
      </c>
      <c r="F33" s="26">
        <f t="shared" si="1"/>
        <v>593</v>
      </c>
      <c r="G33" s="31">
        <f t="shared" si="4"/>
        <v>43.526200000000003</v>
      </c>
      <c r="H33" s="31">
        <f t="shared" si="11"/>
        <v>19.36</v>
      </c>
      <c r="I33" s="27"/>
      <c r="J33" s="32">
        <f t="shared" si="12"/>
        <v>185.90260000000001</v>
      </c>
      <c r="K33" s="33">
        <f t="shared" si="2"/>
        <v>30</v>
      </c>
      <c r="L33" s="32">
        <f t="shared" si="10"/>
        <v>6.1967533333333336</v>
      </c>
    </row>
    <row r="34" spans="1:13" s="29" customFormat="1" ht="18" customHeight="1">
      <c r="A34" s="23">
        <v>40181</v>
      </c>
      <c r="B34" s="24">
        <v>28800</v>
      </c>
      <c r="C34" s="25">
        <f t="shared" si="6"/>
        <v>1576</v>
      </c>
      <c r="D34" s="30">
        <f t="shared" si="3"/>
        <v>181.87040000000002</v>
      </c>
      <c r="E34" s="24">
        <v>44886</v>
      </c>
      <c r="F34" s="26">
        <f t="shared" si="1"/>
        <v>823</v>
      </c>
      <c r="G34" s="31">
        <f t="shared" si="4"/>
        <v>60.408200000000008</v>
      </c>
      <c r="H34" s="31">
        <f t="shared" si="11"/>
        <v>19.36</v>
      </c>
      <c r="I34" s="27"/>
      <c r="J34" s="32">
        <f t="shared" si="12"/>
        <v>261.63860000000005</v>
      </c>
      <c r="K34" s="33">
        <f t="shared" si="2"/>
        <v>30</v>
      </c>
      <c r="L34" s="32">
        <f t="shared" si="10"/>
        <v>8.7212866666666677</v>
      </c>
    </row>
    <row r="35" spans="1:13" s="29" customFormat="1" ht="18" customHeight="1">
      <c r="A35" s="23">
        <v>40212</v>
      </c>
      <c r="B35" s="24">
        <v>30418</v>
      </c>
      <c r="C35" s="25">
        <f t="shared" si="6"/>
        <v>1618</v>
      </c>
      <c r="D35" s="30">
        <f t="shared" si="3"/>
        <v>186.71719999999999</v>
      </c>
      <c r="E35" s="24">
        <v>45709</v>
      </c>
      <c r="F35" s="26">
        <f t="shared" si="1"/>
        <v>823</v>
      </c>
      <c r="G35" s="31">
        <f t="shared" si="4"/>
        <v>60.408200000000008</v>
      </c>
      <c r="H35" s="31">
        <f t="shared" si="11"/>
        <v>19.36</v>
      </c>
      <c r="I35" s="27"/>
      <c r="J35" s="32">
        <f t="shared" si="12"/>
        <v>266.48540000000003</v>
      </c>
      <c r="K35" s="33">
        <f t="shared" si="2"/>
        <v>30</v>
      </c>
      <c r="L35" s="32">
        <f t="shared" si="10"/>
        <v>8.8828466666666674</v>
      </c>
    </row>
    <row r="36" spans="1:13" s="29" customFormat="1" ht="18" customHeight="1">
      <c r="A36" s="23">
        <v>40240</v>
      </c>
      <c r="B36" s="24">
        <v>31705</v>
      </c>
      <c r="C36" s="25">
        <f t="shared" si="6"/>
        <v>1287</v>
      </c>
      <c r="D36" s="30">
        <f>IF(B36&gt;0,$D$3*C36," ")</f>
        <v>148.5198</v>
      </c>
      <c r="E36" s="24">
        <v>46427</v>
      </c>
      <c r="F36" s="26">
        <f t="shared" si="1"/>
        <v>718</v>
      </c>
      <c r="G36" s="31">
        <f>IF(E36&gt;0,$G$3*F36," ")</f>
        <v>52.701200000000007</v>
      </c>
      <c r="H36" s="31">
        <f t="shared" si="11"/>
        <v>19.36</v>
      </c>
      <c r="I36" s="27"/>
      <c r="J36" s="32">
        <f t="shared" si="12"/>
        <v>220.58100000000002</v>
      </c>
      <c r="K36" s="33">
        <f t="shared" si="2"/>
        <v>30</v>
      </c>
      <c r="L36" s="32">
        <f t="shared" si="10"/>
        <v>7.3527000000000005</v>
      </c>
    </row>
    <row r="37" spans="1:13" s="29" customFormat="1" ht="18" customHeight="1">
      <c r="A37" s="23">
        <v>40271</v>
      </c>
      <c r="B37" s="24">
        <v>32888</v>
      </c>
      <c r="C37" s="25">
        <f t="shared" si="6"/>
        <v>1183</v>
      </c>
      <c r="D37" s="30">
        <f>IF(B37&gt;0,$D$3*C37," ")</f>
        <v>136.51820000000001</v>
      </c>
      <c r="E37" s="24">
        <v>47180</v>
      </c>
      <c r="F37" s="26">
        <f t="shared" si="1"/>
        <v>753</v>
      </c>
      <c r="G37" s="31">
        <f>IF(E37&gt;0,$G$3*F37," ")</f>
        <v>55.270200000000003</v>
      </c>
      <c r="H37" s="31">
        <f t="shared" si="11"/>
        <v>19.36</v>
      </c>
      <c r="I37" s="27"/>
      <c r="J37" s="32">
        <f t="shared" si="12"/>
        <v>211.14840000000004</v>
      </c>
      <c r="K37" s="33">
        <f t="shared" si="2"/>
        <v>30</v>
      </c>
      <c r="L37" s="32">
        <f t="shared" si="10"/>
        <v>7.0382800000000012</v>
      </c>
    </row>
    <row r="38" spans="1:13" s="29" customFormat="1" ht="18" customHeight="1">
      <c r="A38" s="23">
        <v>40301</v>
      </c>
      <c r="B38" s="24">
        <v>33686</v>
      </c>
      <c r="C38" s="25">
        <f t="shared" si="6"/>
        <v>798</v>
      </c>
      <c r="D38" s="30">
        <f>IF(B38&gt;0,$D$3*C38," ")</f>
        <v>92.089200000000005</v>
      </c>
      <c r="E38" s="24">
        <v>47731</v>
      </c>
      <c r="F38" s="26">
        <f t="shared" si="1"/>
        <v>551</v>
      </c>
      <c r="G38" s="31">
        <f>IF(E38&gt;0,$G$3*F38," ")</f>
        <v>40.443400000000004</v>
      </c>
      <c r="H38" s="31">
        <f t="shared" si="11"/>
        <v>19.36</v>
      </c>
      <c r="I38" s="27"/>
      <c r="J38" s="32">
        <f t="shared" si="12"/>
        <v>151.89260000000002</v>
      </c>
      <c r="K38" s="33">
        <f t="shared" si="2"/>
        <v>30</v>
      </c>
      <c r="L38" s="32">
        <f t="shared" si="10"/>
        <v>5.063086666666667</v>
      </c>
    </row>
    <row r="39" spans="1:13" s="29" customFormat="1" ht="18" customHeight="1">
      <c r="A39" s="23">
        <v>40332</v>
      </c>
      <c r="B39" s="24">
        <v>34362</v>
      </c>
      <c r="C39" s="25">
        <f t="shared" si="6"/>
        <v>676</v>
      </c>
      <c r="D39" s="30">
        <f>IF(B39&gt;0,$D$3*C39," ")</f>
        <v>78.010400000000004</v>
      </c>
      <c r="E39" s="24">
        <v>48188</v>
      </c>
      <c r="F39" s="26">
        <f t="shared" si="1"/>
        <v>457</v>
      </c>
      <c r="G39" s="31">
        <f>IF(E39&gt;0,$G$3*F39," ")</f>
        <v>33.543800000000005</v>
      </c>
      <c r="H39" s="31">
        <f t="shared" si="11"/>
        <v>19.36</v>
      </c>
      <c r="I39" s="27"/>
      <c r="J39" s="32">
        <f t="shared" si="12"/>
        <v>130.91419999999999</v>
      </c>
      <c r="K39" s="33">
        <f t="shared" si="2"/>
        <v>30</v>
      </c>
      <c r="L39" s="32">
        <f t="shared" si="10"/>
        <v>4.3638066666666662</v>
      </c>
    </row>
    <row r="40" spans="1:13" s="29" customFormat="1" ht="18" customHeight="1">
      <c r="A40" s="23">
        <v>40357</v>
      </c>
      <c r="B40" s="24">
        <v>34815</v>
      </c>
      <c r="C40" s="25">
        <f>IF(B40&gt;0,B40-B39," ")</f>
        <v>453</v>
      </c>
      <c r="D40" s="30">
        <f>IF(B40&gt;0,$D$3*C40," ")</f>
        <v>52.276200000000003</v>
      </c>
      <c r="E40" s="24">
        <v>48438</v>
      </c>
      <c r="F40" s="26">
        <f>IF(E40&gt;0,E40-E39," ")</f>
        <v>250</v>
      </c>
      <c r="G40" s="31">
        <f>IF(E40&gt;0,$G$3*F40," ")</f>
        <v>18.350000000000001</v>
      </c>
      <c r="H40" s="31">
        <f t="shared" si="11"/>
        <v>16.133333333333333</v>
      </c>
      <c r="I40" s="27" t="s">
        <v>16</v>
      </c>
      <c r="J40" s="32">
        <f t="shared" si="12"/>
        <v>86.759533333333337</v>
      </c>
      <c r="K40" s="33">
        <f>DAYS360(A39,A40)</f>
        <v>25</v>
      </c>
      <c r="L40" s="32">
        <f>IF(B40&gt;0,J40/K40," ")</f>
        <v>3.4703813333333335</v>
      </c>
    </row>
    <row r="41" spans="1:13" s="29" customFormat="1" ht="18" customHeight="1">
      <c r="A41" s="23"/>
      <c r="B41" s="24"/>
      <c r="C41" s="28">
        <f>SUM(C28:C40)</f>
        <v>11422</v>
      </c>
      <c r="D41" s="32">
        <f>SUM(D28:D40)</f>
        <v>1318.0988</v>
      </c>
      <c r="E41" s="38"/>
      <c r="F41" s="33">
        <f>SUM(F28:F40)</f>
        <v>6476</v>
      </c>
      <c r="G41" s="32">
        <f>SUM(G28:G40)</f>
        <v>475.33840000000009</v>
      </c>
      <c r="H41" s="32">
        <f>SUM(H28:H40)</f>
        <v>234.25600000000003</v>
      </c>
      <c r="I41" s="43" t="s">
        <v>18</v>
      </c>
      <c r="J41" s="32">
        <f>D41+G41+H41</f>
        <v>2027.6932000000002</v>
      </c>
      <c r="K41" s="33"/>
      <c r="L41" s="32"/>
      <c r="M41" s="45"/>
    </row>
    <row r="42" spans="1:13" s="29" customFormat="1" ht="18" customHeight="1">
      <c r="A42" s="23"/>
      <c r="B42" s="24"/>
      <c r="C42" s="25"/>
      <c r="D42" s="30"/>
      <c r="E42" s="24"/>
      <c r="F42" s="26"/>
      <c r="G42" s="31"/>
      <c r="H42" s="31"/>
      <c r="I42" s="27"/>
      <c r="J42" s="32"/>
      <c r="K42" s="33"/>
      <c r="L42" s="32"/>
    </row>
    <row r="43" spans="1:13" s="29" customFormat="1" ht="18" customHeight="1">
      <c r="A43" s="23">
        <v>40362</v>
      </c>
      <c r="B43" s="24">
        <v>34936</v>
      </c>
      <c r="C43" s="25">
        <f>IF(B43&gt;0,B43-B40," ")</f>
        <v>121</v>
      </c>
      <c r="D43" s="30">
        <f>IF(B43&gt;0,$D$3*C43," ")</f>
        <v>13.9634</v>
      </c>
      <c r="E43" s="24">
        <v>48498</v>
      </c>
      <c r="F43" s="26">
        <f>IF(E43&gt;0,E43-E40," ")</f>
        <v>60</v>
      </c>
      <c r="G43" s="31">
        <f>IF(E43&gt;0,$G$3*F43," ")</f>
        <v>4.4040000000000008</v>
      </c>
      <c r="H43" s="31">
        <f t="shared" si="11"/>
        <v>3.2266666666666666</v>
      </c>
      <c r="I43" s="27"/>
      <c r="J43" s="32">
        <f>IF(B43&gt;0,D43+G43+H43," ")</f>
        <v>21.594066666666667</v>
      </c>
      <c r="K43" s="33">
        <f>DAYS360(A40,A43)</f>
        <v>5</v>
      </c>
      <c r="L43" s="32">
        <f t="shared" si="10"/>
        <v>4.3188133333333329</v>
      </c>
    </row>
    <row r="44" spans="1:13" s="29" customFormat="1" ht="18" customHeight="1">
      <c r="A44" s="23">
        <v>40393</v>
      </c>
      <c r="B44" s="24">
        <v>35664</v>
      </c>
      <c r="C44" s="25">
        <f t="shared" si="6"/>
        <v>728</v>
      </c>
      <c r="D44" s="30">
        <f>IF(B44&gt;0,$D$3*C44," ")</f>
        <v>84.011200000000002</v>
      </c>
      <c r="E44" s="24">
        <v>48829</v>
      </c>
      <c r="F44" s="26">
        <f t="shared" si="1"/>
        <v>331</v>
      </c>
      <c r="G44" s="31">
        <f>IF(E44&gt;0,$G$3*F44," ")</f>
        <v>24.295400000000001</v>
      </c>
      <c r="H44" s="31">
        <f t="shared" si="11"/>
        <v>19.36</v>
      </c>
      <c r="I44" s="27"/>
      <c r="J44" s="32">
        <f>IF(B44&gt;0,D44+G44+H44," ")</f>
        <v>127.6666</v>
      </c>
      <c r="K44" s="33">
        <f t="shared" si="2"/>
        <v>30</v>
      </c>
      <c r="L44" s="32">
        <f t="shared" si="10"/>
        <v>4.2555533333333333</v>
      </c>
    </row>
    <row r="45" spans="1:13" s="29" customFormat="1" ht="18" customHeight="1">
      <c r="A45" s="46" t="s">
        <v>19</v>
      </c>
      <c r="B45" s="47" t="s">
        <v>2</v>
      </c>
      <c r="C45" s="47"/>
      <c r="D45" s="48">
        <v>0.1154</v>
      </c>
      <c r="E45" s="47" t="s">
        <v>3</v>
      </c>
      <c r="F45" s="47"/>
      <c r="G45" s="48">
        <v>7.3400000000000007E-2</v>
      </c>
      <c r="H45" s="48"/>
      <c r="I45" s="47" t="s">
        <v>4</v>
      </c>
      <c r="J45" s="49">
        <v>19.36</v>
      </c>
      <c r="K45" s="33">
        <f>DAYS360(A44,A46)</f>
        <v>30</v>
      </c>
      <c r="L45" s="32"/>
    </row>
    <row r="46" spans="1:13" s="29" customFormat="1" ht="18" customHeight="1">
      <c r="A46" s="23">
        <v>40424</v>
      </c>
      <c r="B46" s="24">
        <v>36121</v>
      </c>
      <c r="C46" s="25">
        <f>IF(B46&gt;0,B46-B44," ")</f>
        <v>457</v>
      </c>
      <c r="D46" s="30">
        <f>IF(B46&gt;0,$D$45*C46," ")</f>
        <v>52.7378</v>
      </c>
      <c r="E46" s="24">
        <v>49048</v>
      </c>
      <c r="F46" s="26">
        <f>IF(E46&gt;0,E46-E44," ")</f>
        <v>219</v>
      </c>
      <c r="G46" s="31">
        <f>IF(E46&gt;0,$G$45*F46," ")</f>
        <v>16.0746</v>
      </c>
      <c r="H46" s="31">
        <f>$J$45/30*K46</f>
        <v>19.36</v>
      </c>
      <c r="I46" s="27"/>
      <c r="J46" s="32">
        <f>IF(B46&gt;0,D46+G46+H46," ")</f>
        <v>88.172399999999996</v>
      </c>
      <c r="K46" s="33">
        <f>DAYS360(A44,A46)</f>
        <v>30</v>
      </c>
      <c r="L46" s="32">
        <f t="shared" si="10"/>
        <v>2.9390799999999997</v>
      </c>
    </row>
    <row r="47" spans="1:13" s="29" customFormat="1" ht="18" customHeight="1">
      <c r="A47" s="23">
        <v>40467</v>
      </c>
      <c r="B47" s="24">
        <v>36587</v>
      </c>
      <c r="C47" s="25">
        <f t="shared" si="6"/>
        <v>466</v>
      </c>
      <c r="D47" s="30">
        <f>IF(B47&gt;0,$D$45*C47," ")</f>
        <v>53.776400000000002</v>
      </c>
      <c r="E47" s="24">
        <v>49281</v>
      </c>
      <c r="F47" s="26">
        <f t="shared" si="1"/>
        <v>233</v>
      </c>
      <c r="G47" s="31">
        <f>IF(E47&gt;0,$G$45*F47," ")</f>
        <v>17.1022</v>
      </c>
      <c r="H47" s="31">
        <f>$J$45/30*K47</f>
        <v>27.749333333333333</v>
      </c>
      <c r="I47" s="27"/>
      <c r="J47" s="32">
        <f t="shared" ref="J47:J109" si="13">IF(B47&gt;0,D47+G47+H47," ")</f>
        <v>98.627933333333345</v>
      </c>
      <c r="K47" s="33">
        <f>DAYS360(A46,A47)</f>
        <v>43</v>
      </c>
      <c r="L47" s="32">
        <f>IF(B47&gt;0,J47/K47," ")</f>
        <v>2.2936728682170546</v>
      </c>
    </row>
    <row r="48" spans="1:13" s="29" customFormat="1" ht="18" customHeight="1">
      <c r="A48" s="23">
        <v>40485</v>
      </c>
      <c r="B48" s="24">
        <v>37295</v>
      </c>
      <c r="C48" s="25">
        <f t="shared" si="6"/>
        <v>708</v>
      </c>
      <c r="D48" s="30">
        <f>IF(B48&gt;0,$D$45*C48," ")</f>
        <v>81.703199999999995</v>
      </c>
      <c r="E48" s="24">
        <v>49725</v>
      </c>
      <c r="F48" s="26">
        <f t="shared" si="1"/>
        <v>444</v>
      </c>
      <c r="G48" s="31">
        <f>IF(E48&gt;0,$G$45*F48," ")</f>
        <v>32.589600000000004</v>
      </c>
      <c r="H48" s="31">
        <f>$J$45/30*K48</f>
        <v>10.970666666666666</v>
      </c>
      <c r="I48" s="27"/>
      <c r="J48" s="32">
        <f t="shared" si="13"/>
        <v>125.26346666666666</v>
      </c>
      <c r="K48" s="33">
        <f>DAYS360(A47,A48)</f>
        <v>17</v>
      </c>
      <c r="L48" s="32">
        <f t="shared" ref="L48:L109" si="14">IF(B48&gt;0,J48/K48," ")</f>
        <v>7.3684392156862737</v>
      </c>
    </row>
    <row r="49" spans="1:13" s="29" customFormat="1" ht="18" customHeight="1">
      <c r="A49" s="23">
        <v>40515</v>
      </c>
      <c r="B49" s="24">
        <v>38707</v>
      </c>
      <c r="C49" s="25">
        <f t="shared" si="6"/>
        <v>1412</v>
      </c>
      <c r="D49" s="30">
        <f>IF(B49&gt;0,$D$45*C49," ")</f>
        <v>162.94480000000001</v>
      </c>
      <c r="E49" s="24">
        <v>50473</v>
      </c>
      <c r="F49" s="26">
        <f t="shared" si="1"/>
        <v>748</v>
      </c>
      <c r="G49" s="31">
        <f>IF(E49&gt;0,$G$45*F49," ")</f>
        <v>54.903200000000005</v>
      </c>
      <c r="H49" s="31">
        <f>$J$45/30*K49</f>
        <v>19.36</v>
      </c>
      <c r="I49" s="27"/>
      <c r="J49" s="32">
        <f t="shared" si="13"/>
        <v>237.20800000000003</v>
      </c>
      <c r="K49" s="33">
        <f>DAYS360(A48,A49)</f>
        <v>30</v>
      </c>
      <c r="L49" s="32">
        <f t="shared" si="14"/>
        <v>7.9069333333333338</v>
      </c>
    </row>
    <row r="50" spans="1:13" s="29" customFormat="1" ht="18" customHeight="1">
      <c r="A50" s="23">
        <v>40540</v>
      </c>
      <c r="B50" s="24">
        <v>40132</v>
      </c>
      <c r="C50" s="25">
        <f t="shared" si="6"/>
        <v>1425</v>
      </c>
      <c r="D50" s="30">
        <f>IF(B50&gt;0,$D$45*C50," ")</f>
        <v>164.44499999999999</v>
      </c>
      <c r="E50" s="24">
        <v>51142</v>
      </c>
      <c r="F50" s="26">
        <f t="shared" si="1"/>
        <v>669</v>
      </c>
      <c r="G50" s="31">
        <f>IF(E50&gt;0,$G$45*F50," ")</f>
        <v>49.104600000000005</v>
      </c>
      <c r="H50" s="31">
        <f>$J$45/30*K50</f>
        <v>16.133333333333333</v>
      </c>
      <c r="I50" s="27" t="s">
        <v>20</v>
      </c>
      <c r="J50" s="32">
        <f t="shared" si="13"/>
        <v>229.68293333333332</v>
      </c>
      <c r="K50" s="33">
        <f>DAYS360(A49,A50)</f>
        <v>25</v>
      </c>
      <c r="L50" s="32">
        <f t="shared" si="14"/>
        <v>9.1873173333333327</v>
      </c>
    </row>
    <row r="51" spans="1:13" s="29" customFormat="1" ht="18" customHeight="1">
      <c r="A51" s="46" t="s">
        <v>21</v>
      </c>
      <c r="B51" s="47" t="s">
        <v>2</v>
      </c>
      <c r="C51" s="47"/>
      <c r="D51" s="48">
        <v>0.1275</v>
      </c>
      <c r="E51" s="47" t="s">
        <v>3</v>
      </c>
      <c r="F51" s="47"/>
      <c r="G51" s="48">
        <v>8.6400000000000005E-2</v>
      </c>
      <c r="H51" s="48"/>
      <c r="I51" s="47" t="s">
        <v>4</v>
      </c>
      <c r="J51" s="49">
        <v>15.64</v>
      </c>
      <c r="K51" s="33"/>
      <c r="L51" s="32"/>
    </row>
    <row r="52" spans="1:13" s="29" customFormat="1" ht="18" customHeight="1">
      <c r="A52" s="23">
        <v>40546</v>
      </c>
      <c r="B52" s="24">
        <v>40527</v>
      </c>
      <c r="C52" s="25">
        <f>IF(B52&gt;0,B52-B50," ")</f>
        <v>395</v>
      </c>
      <c r="D52" s="30">
        <f>IF(B52&gt;0,$D$51*C52," ")</f>
        <v>50.362500000000004</v>
      </c>
      <c r="E52" s="24">
        <v>51335</v>
      </c>
      <c r="F52" s="26">
        <f>IF(E52&gt;0,E52-E50," ")</f>
        <v>193</v>
      </c>
      <c r="G52" s="31">
        <f>IF(E52&gt;0,$G$51*F52," ")</f>
        <v>16.6752</v>
      </c>
      <c r="H52" s="31">
        <f>$J$51/30*K52</f>
        <v>2.6066666666666665</v>
      </c>
      <c r="I52" s="27"/>
      <c r="J52" s="32">
        <f t="shared" si="13"/>
        <v>69.64436666666667</v>
      </c>
      <c r="K52" s="33">
        <f>DAYS360(A50,A52)</f>
        <v>5</v>
      </c>
      <c r="L52" s="32">
        <f t="shared" si="14"/>
        <v>13.928873333333334</v>
      </c>
    </row>
    <row r="53" spans="1:13" s="29" customFormat="1" ht="18" customHeight="1">
      <c r="A53" s="23">
        <v>40577</v>
      </c>
      <c r="B53" s="24">
        <v>42144</v>
      </c>
      <c r="C53" s="25">
        <f t="shared" ref="C53:C109" si="15">IF(B53&gt;0,B53-B52," ")</f>
        <v>1617</v>
      </c>
      <c r="D53" s="30">
        <f t="shared" ref="D53:D72" si="16">IF(B53&gt;0,$D$51*C53," ")</f>
        <v>206.16749999999999</v>
      </c>
      <c r="E53" s="24">
        <v>52153</v>
      </c>
      <c r="F53" s="26">
        <f t="shared" ref="F53:F109" si="17">IF(E53&gt;0,E53-E52," ")</f>
        <v>818</v>
      </c>
      <c r="G53" s="31">
        <f t="shared" ref="G53:G72" si="18">IF(E53&gt;0,$G$51*F53," ")</f>
        <v>70.675200000000004</v>
      </c>
      <c r="H53" s="31">
        <f t="shared" ref="H53:H72" si="19">$J$51/30*K53</f>
        <v>15.639999999999999</v>
      </c>
      <c r="I53" s="27"/>
      <c r="J53" s="32">
        <f t="shared" si="13"/>
        <v>292.48269999999997</v>
      </c>
      <c r="K53" s="33">
        <f t="shared" ref="K53:K95" si="20">DAYS360(A52,A53)</f>
        <v>30</v>
      </c>
      <c r="L53" s="32">
        <f t="shared" si="14"/>
        <v>9.7494233333333327</v>
      </c>
    </row>
    <row r="54" spans="1:13" s="29" customFormat="1" ht="18" customHeight="1">
      <c r="A54" s="23">
        <v>40605</v>
      </c>
      <c r="B54" s="24">
        <v>43502</v>
      </c>
      <c r="C54" s="25">
        <f t="shared" si="15"/>
        <v>1358</v>
      </c>
      <c r="D54" s="30">
        <f t="shared" si="16"/>
        <v>173.14500000000001</v>
      </c>
      <c r="E54" s="24">
        <v>52891</v>
      </c>
      <c r="F54" s="26">
        <f t="shared" si="17"/>
        <v>738</v>
      </c>
      <c r="G54" s="31">
        <f t="shared" si="18"/>
        <v>63.763200000000005</v>
      </c>
      <c r="H54" s="31">
        <f t="shared" si="19"/>
        <v>15.639999999999999</v>
      </c>
      <c r="I54" s="27"/>
      <c r="J54" s="32">
        <f t="shared" si="13"/>
        <v>252.54820000000001</v>
      </c>
      <c r="K54" s="33">
        <f t="shared" si="20"/>
        <v>30</v>
      </c>
      <c r="L54" s="32">
        <f t="shared" si="14"/>
        <v>8.4182733333333335</v>
      </c>
    </row>
    <row r="55" spans="1:13" s="29" customFormat="1" ht="18" customHeight="1">
      <c r="A55" s="23">
        <v>40636</v>
      </c>
      <c r="B55" s="24">
        <v>44423</v>
      </c>
      <c r="C55" s="25">
        <f t="shared" si="15"/>
        <v>921</v>
      </c>
      <c r="D55" s="30">
        <f t="shared" si="16"/>
        <v>117.42750000000001</v>
      </c>
      <c r="E55" s="24">
        <v>53476</v>
      </c>
      <c r="F55" s="26">
        <f t="shared" si="17"/>
        <v>585</v>
      </c>
      <c r="G55" s="31">
        <f t="shared" si="18"/>
        <v>50.544000000000004</v>
      </c>
      <c r="H55" s="31">
        <f t="shared" si="19"/>
        <v>15.639999999999999</v>
      </c>
      <c r="I55" s="27"/>
      <c r="J55" s="32">
        <f t="shared" si="13"/>
        <v>183.61150000000001</v>
      </c>
      <c r="K55" s="33">
        <f t="shared" si="20"/>
        <v>30</v>
      </c>
      <c r="L55" s="32">
        <f t="shared" si="14"/>
        <v>6.1203833333333337</v>
      </c>
    </row>
    <row r="56" spans="1:13" s="29" customFormat="1" ht="18" customHeight="1">
      <c r="A56" s="23">
        <v>40666</v>
      </c>
      <c r="B56" s="24">
        <v>45058</v>
      </c>
      <c r="C56" s="25">
        <f t="shared" si="15"/>
        <v>635</v>
      </c>
      <c r="D56" s="30">
        <f t="shared" si="16"/>
        <v>80.962500000000006</v>
      </c>
      <c r="E56" s="24">
        <v>53890</v>
      </c>
      <c r="F56" s="26">
        <f t="shared" si="17"/>
        <v>414</v>
      </c>
      <c r="G56" s="31">
        <f t="shared" si="18"/>
        <v>35.769600000000004</v>
      </c>
      <c r="H56" s="31">
        <f t="shared" si="19"/>
        <v>15.639999999999999</v>
      </c>
      <c r="I56" s="27"/>
      <c r="J56" s="32">
        <f t="shared" si="13"/>
        <v>132.37209999999999</v>
      </c>
      <c r="K56" s="33">
        <f t="shared" si="20"/>
        <v>30</v>
      </c>
      <c r="L56" s="32">
        <f t="shared" si="14"/>
        <v>4.4124033333333328</v>
      </c>
    </row>
    <row r="57" spans="1:13" s="29" customFormat="1" ht="18" customHeight="1">
      <c r="A57" s="23">
        <v>40697</v>
      </c>
      <c r="B57" s="24">
        <v>45469</v>
      </c>
      <c r="C57" s="25">
        <f t="shared" si="15"/>
        <v>411</v>
      </c>
      <c r="D57" s="30">
        <f t="shared" si="16"/>
        <v>52.402500000000003</v>
      </c>
      <c r="E57" s="24">
        <v>54104</v>
      </c>
      <c r="F57" s="26">
        <f t="shared" si="17"/>
        <v>214</v>
      </c>
      <c r="G57" s="31">
        <f t="shared" si="18"/>
        <v>18.489599999999999</v>
      </c>
      <c r="H57" s="31">
        <f t="shared" si="19"/>
        <v>15.639999999999999</v>
      </c>
      <c r="I57" s="27"/>
      <c r="J57" s="32">
        <f t="shared" si="13"/>
        <v>86.5321</v>
      </c>
      <c r="K57" s="33">
        <f t="shared" si="20"/>
        <v>30</v>
      </c>
      <c r="L57" s="32">
        <f t="shared" si="14"/>
        <v>2.8844033333333332</v>
      </c>
      <c r="M57" s="45">
        <f>J43+J44+J46+J47+J48+J49+J50+J52+J53+J54+J55+J56+J57</f>
        <v>1945.4063666666666</v>
      </c>
    </row>
    <row r="58" spans="1:13" s="29" customFormat="1" ht="18" customHeight="1">
      <c r="A58" s="23">
        <v>40719</v>
      </c>
      <c r="B58" s="24">
        <v>45791</v>
      </c>
      <c r="C58" s="25">
        <f t="shared" si="15"/>
        <v>322</v>
      </c>
      <c r="D58" s="30">
        <f t="shared" si="16"/>
        <v>41.055</v>
      </c>
      <c r="E58" s="24">
        <v>54278</v>
      </c>
      <c r="F58" s="26">
        <f t="shared" si="17"/>
        <v>174</v>
      </c>
      <c r="G58" s="31">
        <f t="shared" si="18"/>
        <v>15.033600000000002</v>
      </c>
      <c r="H58" s="31">
        <f t="shared" si="19"/>
        <v>11.469333333333333</v>
      </c>
      <c r="I58" s="27"/>
      <c r="J58" s="32">
        <f t="shared" si="13"/>
        <v>67.557933333333338</v>
      </c>
      <c r="K58" s="33">
        <f t="shared" si="20"/>
        <v>22</v>
      </c>
      <c r="L58" s="32">
        <f t="shared" si="14"/>
        <v>3.0708151515151516</v>
      </c>
    </row>
    <row r="59" spans="1:13" s="29" customFormat="1" ht="18" customHeight="1">
      <c r="A59" s="23">
        <v>40727</v>
      </c>
      <c r="B59" s="24">
        <v>45849</v>
      </c>
      <c r="C59" s="25">
        <f t="shared" si="15"/>
        <v>58</v>
      </c>
      <c r="D59" s="30">
        <f t="shared" si="16"/>
        <v>7.3950000000000005</v>
      </c>
      <c r="E59" s="24">
        <v>54309</v>
      </c>
      <c r="F59" s="26">
        <f t="shared" si="17"/>
        <v>31</v>
      </c>
      <c r="G59" s="31">
        <f t="shared" si="18"/>
        <v>2.6784000000000003</v>
      </c>
      <c r="H59" s="31">
        <f t="shared" si="19"/>
        <v>4.1706666666666665</v>
      </c>
      <c r="I59" s="27"/>
      <c r="J59" s="32">
        <f t="shared" si="13"/>
        <v>14.244066666666669</v>
      </c>
      <c r="K59" s="33">
        <f t="shared" si="20"/>
        <v>8</v>
      </c>
      <c r="L59" s="32">
        <f t="shared" si="14"/>
        <v>1.7805083333333336</v>
      </c>
    </row>
    <row r="60" spans="1:13" s="29" customFormat="1" ht="18" customHeight="1">
      <c r="A60" s="23">
        <v>40758</v>
      </c>
      <c r="B60" s="24">
        <v>46292</v>
      </c>
      <c r="C60" s="25">
        <f t="shared" si="15"/>
        <v>443</v>
      </c>
      <c r="D60" s="30">
        <f t="shared" si="16"/>
        <v>56.482500000000002</v>
      </c>
      <c r="E60" s="24">
        <v>54528</v>
      </c>
      <c r="F60" s="26">
        <f t="shared" si="17"/>
        <v>219</v>
      </c>
      <c r="G60" s="31">
        <f t="shared" si="18"/>
        <v>18.921600000000002</v>
      </c>
      <c r="H60" s="31">
        <f t="shared" si="19"/>
        <v>15.639999999999999</v>
      </c>
      <c r="I60" s="27"/>
      <c r="J60" s="32">
        <f t="shared" si="13"/>
        <v>91.0441</v>
      </c>
      <c r="K60" s="33">
        <f t="shared" si="20"/>
        <v>30</v>
      </c>
      <c r="L60" s="32">
        <f t="shared" si="14"/>
        <v>3.0348033333333335</v>
      </c>
    </row>
    <row r="61" spans="1:13" s="29" customFormat="1" ht="18" customHeight="1">
      <c r="A61" s="23">
        <v>40789</v>
      </c>
      <c r="B61" s="24">
        <v>46732</v>
      </c>
      <c r="C61" s="25">
        <f t="shared" si="15"/>
        <v>440</v>
      </c>
      <c r="D61" s="30">
        <f t="shared" si="16"/>
        <v>56.1</v>
      </c>
      <c r="E61" s="24">
        <v>54747</v>
      </c>
      <c r="F61" s="26">
        <f t="shared" si="17"/>
        <v>219</v>
      </c>
      <c r="G61" s="31">
        <f t="shared" si="18"/>
        <v>18.921600000000002</v>
      </c>
      <c r="H61" s="31">
        <f t="shared" si="19"/>
        <v>15.639999999999999</v>
      </c>
      <c r="I61" s="27"/>
      <c r="J61" s="32">
        <f t="shared" si="13"/>
        <v>90.661600000000007</v>
      </c>
      <c r="K61" s="33">
        <f t="shared" si="20"/>
        <v>30</v>
      </c>
      <c r="L61" s="32">
        <f t="shared" si="14"/>
        <v>3.0220533333333335</v>
      </c>
    </row>
    <row r="62" spans="1:13" s="29" customFormat="1" ht="18" customHeight="1">
      <c r="A62" s="23">
        <v>40835</v>
      </c>
      <c r="B62" s="24">
        <v>47122</v>
      </c>
      <c r="C62" s="25">
        <f t="shared" si="15"/>
        <v>390</v>
      </c>
      <c r="D62" s="30">
        <f t="shared" si="16"/>
        <v>49.725000000000001</v>
      </c>
      <c r="E62" s="24">
        <v>54961</v>
      </c>
      <c r="F62" s="26">
        <f t="shared" si="17"/>
        <v>214</v>
      </c>
      <c r="G62" s="31">
        <f t="shared" si="18"/>
        <v>18.489599999999999</v>
      </c>
      <c r="H62" s="31">
        <f t="shared" si="19"/>
        <v>23.981333333333332</v>
      </c>
      <c r="I62" s="27"/>
      <c r="J62" s="32">
        <f t="shared" si="13"/>
        <v>92.195933333333329</v>
      </c>
      <c r="K62" s="33">
        <f t="shared" si="20"/>
        <v>46</v>
      </c>
      <c r="L62" s="32">
        <f t="shared" si="14"/>
        <v>2.0042594202898552</v>
      </c>
    </row>
    <row r="63" spans="1:13" s="29" customFormat="1" ht="18" customHeight="1">
      <c r="A63" s="23">
        <v>40852</v>
      </c>
      <c r="B63" s="24">
        <v>47633</v>
      </c>
      <c r="C63" s="25">
        <f t="shared" si="15"/>
        <v>511</v>
      </c>
      <c r="D63" s="30">
        <f t="shared" si="16"/>
        <v>65.152500000000003</v>
      </c>
      <c r="E63" s="24">
        <v>55253</v>
      </c>
      <c r="F63" s="26">
        <f t="shared" si="17"/>
        <v>292</v>
      </c>
      <c r="G63" s="31">
        <f t="shared" si="18"/>
        <v>25.2288</v>
      </c>
      <c r="H63" s="31">
        <f t="shared" si="19"/>
        <v>8.341333333333333</v>
      </c>
      <c r="I63" s="27"/>
      <c r="J63" s="32">
        <f t="shared" si="13"/>
        <v>98.722633333333349</v>
      </c>
      <c r="K63" s="33">
        <f t="shared" si="20"/>
        <v>16</v>
      </c>
      <c r="L63" s="32">
        <f t="shared" si="14"/>
        <v>6.1701645833333343</v>
      </c>
    </row>
    <row r="64" spans="1:13" s="29" customFormat="1" ht="18" customHeight="1">
      <c r="A64" s="23">
        <v>40880</v>
      </c>
      <c r="B64" s="24">
        <v>48597</v>
      </c>
      <c r="C64" s="25">
        <f t="shared" si="15"/>
        <v>964</v>
      </c>
      <c r="D64" s="30">
        <f t="shared" si="16"/>
        <v>122.91</v>
      </c>
      <c r="E64" s="24">
        <v>55817</v>
      </c>
      <c r="F64" s="26">
        <f t="shared" si="17"/>
        <v>564</v>
      </c>
      <c r="G64" s="31">
        <f t="shared" si="18"/>
        <v>48.729600000000005</v>
      </c>
      <c r="H64" s="31">
        <f t="shared" si="19"/>
        <v>14.597333333333333</v>
      </c>
      <c r="I64" s="27"/>
      <c r="J64" s="32">
        <f t="shared" si="13"/>
        <v>186.23693333333333</v>
      </c>
      <c r="K64" s="33">
        <f t="shared" si="20"/>
        <v>28</v>
      </c>
      <c r="L64" s="32">
        <f t="shared" si="14"/>
        <v>6.6513190476190474</v>
      </c>
    </row>
    <row r="65" spans="1:13" s="29" customFormat="1" ht="18" customHeight="1">
      <c r="A65" s="23">
        <v>40900</v>
      </c>
      <c r="B65" s="24">
        <v>49407</v>
      </c>
      <c r="C65" s="25">
        <f t="shared" si="15"/>
        <v>810</v>
      </c>
      <c r="D65" s="30">
        <f t="shared" si="16"/>
        <v>103.27500000000001</v>
      </c>
      <c r="E65" s="24">
        <v>56228</v>
      </c>
      <c r="F65" s="26">
        <f t="shared" si="17"/>
        <v>411</v>
      </c>
      <c r="G65" s="31">
        <f t="shared" si="18"/>
        <v>35.510400000000004</v>
      </c>
      <c r="H65" s="31">
        <f t="shared" si="19"/>
        <v>10.426666666666666</v>
      </c>
      <c r="I65" s="27" t="s">
        <v>22</v>
      </c>
      <c r="J65" s="32">
        <f t="shared" si="13"/>
        <v>149.21206666666669</v>
      </c>
      <c r="K65" s="33">
        <f t="shared" si="20"/>
        <v>20</v>
      </c>
      <c r="L65" s="32">
        <f t="shared" si="14"/>
        <v>7.4606033333333341</v>
      </c>
    </row>
    <row r="66" spans="1:13" s="29" customFormat="1" ht="18" customHeight="1">
      <c r="A66" s="23">
        <v>40911</v>
      </c>
      <c r="B66" s="24">
        <v>49953</v>
      </c>
      <c r="C66" s="25">
        <f t="shared" si="15"/>
        <v>546</v>
      </c>
      <c r="D66" s="30">
        <f t="shared" si="16"/>
        <v>69.614999999999995</v>
      </c>
      <c r="E66" s="24">
        <v>56473</v>
      </c>
      <c r="F66" s="26">
        <f t="shared" si="17"/>
        <v>245</v>
      </c>
      <c r="G66" s="31">
        <f t="shared" si="18"/>
        <v>21.168000000000003</v>
      </c>
      <c r="H66" s="31">
        <f t="shared" si="19"/>
        <v>5.2133333333333329</v>
      </c>
      <c r="I66" s="27"/>
      <c r="J66" s="32">
        <f t="shared" si="13"/>
        <v>95.99633333333334</v>
      </c>
      <c r="K66" s="33">
        <f t="shared" si="20"/>
        <v>10</v>
      </c>
      <c r="L66" s="32">
        <f t="shared" si="14"/>
        <v>9.5996333333333332</v>
      </c>
    </row>
    <row r="67" spans="1:13" s="29" customFormat="1" ht="18" customHeight="1">
      <c r="A67" s="23">
        <v>40942</v>
      </c>
      <c r="B67" s="24">
        <v>51429</v>
      </c>
      <c r="C67" s="25">
        <f t="shared" si="15"/>
        <v>1476</v>
      </c>
      <c r="D67" s="30">
        <f t="shared" si="16"/>
        <v>188.19</v>
      </c>
      <c r="E67" s="24">
        <v>57180</v>
      </c>
      <c r="F67" s="26">
        <f t="shared" si="17"/>
        <v>707</v>
      </c>
      <c r="G67" s="31">
        <f t="shared" si="18"/>
        <v>61.084800000000001</v>
      </c>
      <c r="H67" s="31">
        <f t="shared" si="19"/>
        <v>15.639999999999999</v>
      </c>
      <c r="I67" s="27"/>
      <c r="J67" s="32">
        <f t="shared" si="13"/>
        <v>264.91480000000001</v>
      </c>
      <c r="K67" s="33">
        <f t="shared" si="20"/>
        <v>30</v>
      </c>
      <c r="L67" s="32">
        <f t="shared" si="14"/>
        <v>8.8304933333333331</v>
      </c>
    </row>
    <row r="68" spans="1:13" s="29" customFormat="1" ht="18" customHeight="1">
      <c r="A68" s="23">
        <v>40971</v>
      </c>
      <c r="B68" s="24">
        <v>52562</v>
      </c>
      <c r="C68" s="25">
        <f t="shared" si="15"/>
        <v>1133</v>
      </c>
      <c r="D68" s="30">
        <f t="shared" si="16"/>
        <v>144.45750000000001</v>
      </c>
      <c r="E68" s="24">
        <v>57729</v>
      </c>
      <c r="F68" s="26">
        <f t="shared" si="17"/>
        <v>549</v>
      </c>
      <c r="G68" s="31">
        <f t="shared" si="18"/>
        <v>47.433600000000006</v>
      </c>
      <c r="H68" s="31">
        <f t="shared" si="19"/>
        <v>15.639999999999999</v>
      </c>
      <c r="I68" s="27"/>
      <c r="J68" s="32">
        <f t="shared" si="13"/>
        <v>207.53110000000001</v>
      </c>
      <c r="K68" s="33">
        <f t="shared" si="20"/>
        <v>30</v>
      </c>
      <c r="L68" s="32">
        <f t="shared" si="14"/>
        <v>6.9177033333333338</v>
      </c>
    </row>
    <row r="69" spans="1:13" s="29" customFormat="1" ht="18" customHeight="1">
      <c r="A69" s="23">
        <v>41002</v>
      </c>
      <c r="B69" s="24">
        <v>53534</v>
      </c>
      <c r="C69" s="25">
        <f t="shared" si="15"/>
        <v>972</v>
      </c>
      <c r="D69" s="30">
        <f t="shared" si="16"/>
        <v>123.93</v>
      </c>
      <c r="E69" s="24">
        <v>58298</v>
      </c>
      <c r="F69" s="26">
        <f t="shared" si="17"/>
        <v>569</v>
      </c>
      <c r="G69" s="31">
        <f t="shared" si="18"/>
        <v>49.1616</v>
      </c>
      <c r="H69" s="31">
        <f t="shared" si="19"/>
        <v>15.639999999999999</v>
      </c>
      <c r="I69" s="27"/>
      <c r="J69" s="32">
        <f t="shared" si="13"/>
        <v>188.73159999999999</v>
      </c>
      <c r="K69" s="33">
        <f t="shared" si="20"/>
        <v>30</v>
      </c>
      <c r="L69" s="32">
        <f t="shared" si="14"/>
        <v>6.2910533333333332</v>
      </c>
    </row>
    <row r="70" spans="1:13" s="29" customFormat="1" ht="18" customHeight="1">
      <c r="A70" s="23">
        <v>41032</v>
      </c>
      <c r="B70" s="24">
        <v>54486</v>
      </c>
      <c r="C70" s="25">
        <f t="shared" si="15"/>
        <v>952</v>
      </c>
      <c r="D70" s="30">
        <f t="shared" si="16"/>
        <v>121.38</v>
      </c>
      <c r="E70" s="24">
        <v>58832</v>
      </c>
      <c r="F70" s="26">
        <f t="shared" si="17"/>
        <v>534</v>
      </c>
      <c r="G70" s="31">
        <f t="shared" si="18"/>
        <v>46.137599999999999</v>
      </c>
      <c r="H70" s="31">
        <f t="shared" si="19"/>
        <v>15.639999999999999</v>
      </c>
      <c r="I70" s="27"/>
      <c r="J70" s="32">
        <f t="shared" si="13"/>
        <v>183.15759999999997</v>
      </c>
      <c r="K70" s="33">
        <f t="shared" si="20"/>
        <v>30</v>
      </c>
      <c r="L70" s="32">
        <f t="shared" si="14"/>
        <v>6.1052533333333328</v>
      </c>
    </row>
    <row r="71" spans="1:13" s="29" customFormat="1" ht="18" customHeight="1">
      <c r="A71" s="23">
        <v>41063</v>
      </c>
      <c r="B71" s="24">
        <v>55051</v>
      </c>
      <c r="C71" s="25">
        <f t="shared" si="15"/>
        <v>565</v>
      </c>
      <c r="D71" s="30">
        <f t="shared" si="16"/>
        <v>72.037499999999994</v>
      </c>
      <c r="E71" s="24">
        <v>59176</v>
      </c>
      <c r="F71" s="26">
        <f t="shared" si="17"/>
        <v>344</v>
      </c>
      <c r="G71" s="31">
        <f t="shared" si="18"/>
        <v>29.721600000000002</v>
      </c>
      <c r="H71" s="31">
        <f t="shared" si="19"/>
        <v>15.639999999999999</v>
      </c>
      <c r="I71" s="27"/>
      <c r="J71" s="32">
        <f t="shared" si="13"/>
        <v>117.39909999999999</v>
      </c>
      <c r="K71" s="33">
        <f t="shared" si="20"/>
        <v>30</v>
      </c>
      <c r="L71" s="32">
        <f t="shared" si="14"/>
        <v>3.9133033333333329</v>
      </c>
      <c r="M71" s="45">
        <f>SUM(J59:J71)</f>
        <v>1780.047866666667</v>
      </c>
    </row>
    <row r="72" spans="1:13" s="29" customFormat="1" ht="18" customHeight="1">
      <c r="A72" s="23">
        <v>41084</v>
      </c>
      <c r="B72" s="24">
        <v>55362</v>
      </c>
      <c r="C72" s="25">
        <f t="shared" si="15"/>
        <v>311</v>
      </c>
      <c r="D72" s="30">
        <f t="shared" si="16"/>
        <v>39.652500000000003</v>
      </c>
      <c r="E72" s="24">
        <v>59341</v>
      </c>
      <c r="F72" s="26">
        <f t="shared" si="17"/>
        <v>165</v>
      </c>
      <c r="G72" s="31">
        <f t="shared" si="18"/>
        <v>14.256</v>
      </c>
      <c r="H72" s="31">
        <f t="shared" si="19"/>
        <v>10.948</v>
      </c>
      <c r="I72" s="27"/>
      <c r="J72" s="32">
        <f t="shared" si="13"/>
        <v>64.856500000000011</v>
      </c>
      <c r="K72" s="33">
        <f t="shared" si="20"/>
        <v>21</v>
      </c>
      <c r="L72" s="32">
        <f t="shared" si="14"/>
        <v>3.0884047619047625</v>
      </c>
      <c r="M72" s="45">
        <f>SUM(J60:J72)</f>
        <v>1830.6603000000005</v>
      </c>
    </row>
    <row r="73" spans="1:13" s="29" customFormat="1" ht="18" customHeight="1">
      <c r="A73" s="46" t="s">
        <v>21</v>
      </c>
      <c r="B73" s="47" t="s">
        <v>2</v>
      </c>
      <c r="C73" s="47"/>
      <c r="D73" s="48">
        <v>0.1363</v>
      </c>
      <c r="E73" s="47" t="s">
        <v>3</v>
      </c>
      <c r="F73" s="47"/>
      <c r="G73" s="48">
        <v>9.2600000000000002E-2</v>
      </c>
      <c r="H73" s="48"/>
      <c r="I73" s="47" t="s">
        <v>4</v>
      </c>
      <c r="J73" s="49">
        <v>16.28</v>
      </c>
      <c r="K73" s="33"/>
      <c r="L73" s="32"/>
    </row>
    <row r="74" spans="1:13" s="29" customFormat="1" ht="18" customHeight="1">
      <c r="A74" s="46" t="s">
        <v>23</v>
      </c>
      <c r="B74" s="50" t="s">
        <v>2</v>
      </c>
      <c r="C74" s="50"/>
      <c r="D74" s="51">
        <v>0.1376</v>
      </c>
      <c r="E74" s="50" t="s">
        <v>3</v>
      </c>
      <c r="F74" s="50"/>
      <c r="G74" s="51">
        <v>9.4899999999999998E-2</v>
      </c>
      <c r="H74" s="51"/>
      <c r="I74" s="50" t="s">
        <v>4</v>
      </c>
      <c r="J74" s="52">
        <v>13.78</v>
      </c>
      <c r="K74" s="33"/>
      <c r="L74" s="32">
        <f>13.78*12</f>
        <v>165.35999999999999</v>
      </c>
    </row>
    <row r="75" spans="1:13" s="29" customFormat="1" ht="18" customHeight="1">
      <c r="A75" s="23">
        <v>41093</v>
      </c>
      <c r="B75" s="24">
        <v>55477</v>
      </c>
      <c r="C75" s="25">
        <f>IF(B75&gt;0,B75-B72," ")</f>
        <v>115</v>
      </c>
      <c r="D75" s="30">
        <f>IF(B75&gt;0,$D$74*C75," ")</f>
        <v>15.824</v>
      </c>
      <c r="E75" s="24">
        <v>59391</v>
      </c>
      <c r="F75" s="26">
        <f>IF(E75&gt;0,E75-E72," ")</f>
        <v>50</v>
      </c>
      <c r="G75" s="31">
        <f>IF(E75&gt;0,$G$74*F75," ")</f>
        <v>4.7450000000000001</v>
      </c>
      <c r="H75" s="31">
        <f>$J$74/30*K75</f>
        <v>4.1339999999999995</v>
      </c>
      <c r="I75" s="27"/>
      <c r="J75" s="32">
        <f t="shared" si="13"/>
        <v>24.702999999999999</v>
      </c>
      <c r="K75" s="33">
        <f>DAYS360(A72,A75)</f>
        <v>9</v>
      </c>
      <c r="L75" s="32">
        <f t="shared" si="14"/>
        <v>2.7447777777777778</v>
      </c>
    </row>
    <row r="76" spans="1:13" s="29" customFormat="1" ht="18" customHeight="1">
      <c r="A76" s="23">
        <v>41124</v>
      </c>
      <c r="B76" s="24">
        <v>55907</v>
      </c>
      <c r="C76" s="25">
        <f t="shared" si="15"/>
        <v>430</v>
      </c>
      <c r="D76" s="30">
        <f t="shared" ref="D76:D95" si="21">IF(B76&gt;0,$D$74*C76," ")</f>
        <v>59.167999999999999</v>
      </c>
      <c r="E76" s="24">
        <v>59597</v>
      </c>
      <c r="F76" s="26">
        <f t="shared" si="17"/>
        <v>206</v>
      </c>
      <c r="G76" s="31">
        <f t="shared" ref="G76:G95" si="22">IF(E76&gt;0,$G$74*F76," ")</f>
        <v>19.549399999999999</v>
      </c>
      <c r="H76" s="31">
        <f t="shared" ref="H76:H95" si="23">$J$74/30*K76</f>
        <v>13.78</v>
      </c>
      <c r="I76" s="27"/>
      <c r="J76" s="32">
        <f t="shared" si="13"/>
        <v>92.497399999999999</v>
      </c>
      <c r="K76" s="33">
        <f t="shared" si="20"/>
        <v>30</v>
      </c>
      <c r="L76" s="32">
        <f t="shared" si="14"/>
        <v>3.0832466666666667</v>
      </c>
    </row>
    <row r="77" spans="1:13" s="29" customFormat="1" ht="18" customHeight="1">
      <c r="A77" s="23">
        <v>41155</v>
      </c>
      <c r="B77" s="24">
        <v>56217</v>
      </c>
      <c r="C77" s="25">
        <f t="shared" si="15"/>
        <v>310</v>
      </c>
      <c r="D77" s="30">
        <f t="shared" si="21"/>
        <v>42.655999999999999</v>
      </c>
      <c r="E77" s="24">
        <v>59758</v>
      </c>
      <c r="F77" s="26">
        <f t="shared" si="17"/>
        <v>161</v>
      </c>
      <c r="G77" s="31">
        <f t="shared" si="22"/>
        <v>15.2789</v>
      </c>
      <c r="H77" s="31">
        <f t="shared" si="23"/>
        <v>13.78</v>
      </c>
      <c r="I77" s="27"/>
      <c r="J77" s="32">
        <f t="shared" si="13"/>
        <v>71.7149</v>
      </c>
      <c r="K77" s="33">
        <f t="shared" si="20"/>
        <v>30</v>
      </c>
      <c r="L77" s="32">
        <f t="shared" si="14"/>
        <v>2.3904966666666665</v>
      </c>
    </row>
    <row r="78" spans="1:13" s="29" customFormat="1" ht="18" customHeight="1">
      <c r="A78" s="23">
        <v>41196</v>
      </c>
      <c r="B78" s="24">
        <v>56421</v>
      </c>
      <c r="C78" s="25">
        <f t="shared" si="15"/>
        <v>204</v>
      </c>
      <c r="D78" s="30">
        <f t="shared" si="21"/>
        <v>28.070399999999999</v>
      </c>
      <c r="E78" s="24">
        <v>59866</v>
      </c>
      <c r="F78" s="26">
        <f t="shared" si="17"/>
        <v>108</v>
      </c>
      <c r="G78" s="31">
        <f t="shared" si="22"/>
        <v>10.2492</v>
      </c>
      <c r="H78" s="31">
        <f t="shared" si="23"/>
        <v>18.832666666666665</v>
      </c>
      <c r="I78" s="27"/>
      <c r="J78" s="32">
        <f t="shared" si="13"/>
        <v>57.152266666666662</v>
      </c>
      <c r="K78" s="33">
        <f t="shared" si="20"/>
        <v>41</v>
      </c>
      <c r="L78" s="32">
        <f t="shared" si="14"/>
        <v>1.3939577235772356</v>
      </c>
    </row>
    <row r="79" spans="1:13" s="29" customFormat="1" ht="18" customHeight="1">
      <c r="A79" s="23">
        <v>41216</v>
      </c>
      <c r="B79" s="24">
        <v>57079</v>
      </c>
      <c r="C79" s="25">
        <f t="shared" si="15"/>
        <v>658</v>
      </c>
      <c r="D79" s="30">
        <f t="shared" si="21"/>
        <v>90.540800000000004</v>
      </c>
      <c r="E79" s="24">
        <v>60211</v>
      </c>
      <c r="F79" s="26">
        <f t="shared" si="17"/>
        <v>345</v>
      </c>
      <c r="G79" s="31">
        <f t="shared" si="22"/>
        <v>32.740499999999997</v>
      </c>
      <c r="H79" s="31">
        <f t="shared" si="23"/>
        <v>8.7273333333333323</v>
      </c>
      <c r="I79" s="27"/>
      <c r="J79" s="32">
        <f t="shared" si="13"/>
        <v>132.00863333333334</v>
      </c>
      <c r="K79" s="33">
        <f t="shared" si="20"/>
        <v>19</v>
      </c>
      <c r="L79" s="32">
        <f t="shared" si="14"/>
        <v>6.9478228070175438</v>
      </c>
    </row>
    <row r="80" spans="1:13" s="29" customFormat="1" ht="18" customHeight="1">
      <c r="A80" s="23">
        <v>41246</v>
      </c>
      <c r="B80" s="24">
        <v>58225</v>
      </c>
      <c r="C80" s="25">
        <f t="shared" si="15"/>
        <v>1146</v>
      </c>
      <c r="D80" s="30">
        <f t="shared" si="21"/>
        <v>157.68960000000001</v>
      </c>
      <c r="E80" s="24">
        <v>60846</v>
      </c>
      <c r="F80" s="26">
        <f t="shared" si="17"/>
        <v>635</v>
      </c>
      <c r="G80" s="31">
        <f t="shared" si="22"/>
        <v>60.261499999999998</v>
      </c>
      <c r="H80" s="31">
        <f t="shared" si="23"/>
        <v>13.78</v>
      </c>
      <c r="I80" s="27"/>
      <c r="J80" s="32">
        <f t="shared" si="13"/>
        <v>231.7311</v>
      </c>
      <c r="K80" s="33">
        <f t="shared" si="20"/>
        <v>30</v>
      </c>
      <c r="L80" s="32">
        <f t="shared" si="14"/>
        <v>7.7243699999999995</v>
      </c>
    </row>
    <row r="81" spans="1:15" s="29" customFormat="1" ht="18" customHeight="1">
      <c r="A81" s="23">
        <v>41277</v>
      </c>
      <c r="B81" s="24">
        <v>59718</v>
      </c>
      <c r="C81" s="25">
        <f t="shared" si="15"/>
        <v>1493</v>
      </c>
      <c r="D81" s="30">
        <f t="shared" si="21"/>
        <v>205.43680000000001</v>
      </c>
      <c r="E81" s="24">
        <v>61579</v>
      </c>
      <c r="F81" s="26">
        <f t="shared" si="17"/>
        <v>733</v>
      </c>
      <c r="G81" s="31">
        <f t="shared" si="22"/>
        <v>69.561700000000002</v>
      </c>
      <c r="H81" s="31">
        <f t="shared" si="23"/>
        <v>13.78</v>
      </c>
      <c r="I81" s="27"/>
      <c r="J81" s="32">
        <f t="shared" si="13"/>
        <v>288.77850000000001</v>
      </c>
      <c r="K81" s="33">
        <f t="shared" si="20"/>
        <v>30</v>
      </c>
      <c r="L81" s="32">
        <f t="shared" si="14"/>
        <v>9.6259499999999996</v>
      </c>
    </row>
    <row r="82" spans="1:15" s="29" customFormat="1" ht="18" customHeight="1">
      <c r="A82" s="23">
        <v>41308</v>
      </c>
      <c r="B82" s="24">
        <v>61029</v>
      </c>
      <c r="C82" s="25">
        <f t="shared" si="15"/>
        <v>1311</v>
      </c>
      <c r="D82" s="30">
        <f t="shared" si="21"/>
        <v>180.39359999999999</v>
      </c>
      <c r="E82" s="24">
        <v>62263</v>
      </c>
      <c r="F82" s="26">
        <f t="shared" si="17"/>
        <v>684</v>
      </c>
      <c r="G82" s="31">
        <f t="shared" si="22"/>
        <v>64.911599999999993</v>
      </c>
      <c r="H82" s="31">
        <f t="shared" si="23"/>
        <v>13.78</v>
      </c>
      <c r="I82" s="27"/>
      <c r="J82" s="32">
        <f t="shared" si="13"/>
        <v>259.08519999999999</v>
      </c>
      <c r="K82" s="33">
        <f t="shared" si="20"/>
        <v>30</v>
      </c>
      <c r="L82" s="32">
        <f t="shared" si="14"/>
        <v>8.6361733333333337</v>
      </c>
    </row>
    <row r="83" spans="1:15" s="29" customFormat="1" ht="18" customHeight="1">
      <c r="A83" s="23">
        <v>41336</v>
      </c>
      <c r="B83" s="24">
        <v>62526</v>
      </c>
      <c r="C83" s="25">
        <f t="shared" si="15"/>
        <v>1497</v>
      </c>
      <c r="D83" s="30">
        <f t="shared" si="21"/>
        <v>205.9872</v>
      </c>
      <c r="E83" s="24">
        <v>62889</v>
      </c>
      <c r="F83" s="26">
        <f t="shared" si="17"/>
        <v>626</v>
      </c>
      <c r="G83" s="31">
        <f t="shared" si="22"/>
        <v>59.407399999999996</v>
      </c>
      <c r="H83" s="31">
        <f t="shared" si="23"/>
        <v>13.78</v>
      </c>
      <c r="I83" s="27"/>
      <c r="J83" s="32">
        <f t="shared" si="13"/>
        <v>279.17459999999994</v>
      </c>
      <c r="K83" s="33">
        <f t="shared" si="20"/>
        <v>30</v>
      </c>
      <c r="L83" s="32">
        <f t="shared" si="14"/>
        <v>9.3058199999999989</v>
      </c>
    </row>
    <row r="84" spans="1:15" s="29" customFormat="1" ht="18" customHeight="1">
      <c r="A84" s="23">
        <v>41367</v>
      </c>
      <c r="B84" s="24">
        <v>64090</v>
      </c>
      <c r="C84" s="25">
        <f t="shared" si="15"/>
        <v>1564</v>
      </c>
      <c r="D84" s="30">
        <f t="shared" si="21"/>
        <v>215.2064</v>
      </c>
      <c r="E84" s="24">
        <v>63723</v>
      </c>
      <c r="F84" s="26">
        <f t="shared" si="17"/>
        <v>834</v>
      </c>
      <c r="G84" s="31">
        <f t="shared" si="22"/>
        <v>79.146599999999992</v>
      </c>
      <c r="H84" s="31">
        <f t="shared" si="23"/>
        <v>13.78</v>
      </c>
      <c r="I84" s="27"/>
      <c r="J84" s="32">
        <f t="shared" si="13"/>
        <v>308.13299999999998</v>
      </c>
      <c r="K84" s="33">
        <f t="shared" si="20"/>
        <v>30</v>
      </c>
      <c r="L84" s="32">
        <f t="shared" si="14"/>
        <v>10.271099999999999</v>
      </c>
    </row>
    <row r="85" spans="1:15" s="29" customFormat="1" ht="18" customHeight="1">
      <c r="A85" s="23">
        <v>41397</v>
      </c>
      <c r="B85" s="24">
        <v>65050</v>
      </c>
      <c r="C85" s="25">
        <f t="shared" si="15"/>
        <v>960</v>
      </c>
      <c r="D85" s="30">
        <f t="shared" si="21"/>
        <v>132.096</v>
      </c>
      <c r="E85" s="24">
        <v>64343</v>
      </c>
      <c r="F85" s="26">
        <f t="shared" si="17"/>
        <v>620</v>
      </c>
      <c r="G85" s="31">
        <f t="shared" si="22"/>
        <v>58.838000000000001</v>
      </c>
      <c r="H85" s="31">
        <f t="shared" si="23"/>
        <v>13.78</v>
      </c>
      <c r="I85" s="27"/>
      <c r="J85" s="32">
        <f t="shared" si="13"/>
        <v>204.714</v>
      </c>
      <c r="K85" s="33">
        <f t="shared" si="20"/>
        <v>30</v>
      </c>
      <c r="L85" s="32">
        <f t="shared" si="14"/>
        <v>6.8238000000000003</v>
      </c>
    </row>
    <row r="86" spans="1:15" s="29" customFormat="1" ht="18" customHeight="1">
      <c r="A86" s="23">
        <v>41428</v>
      </c>
      <c r="B86" s="24">
        <v>65836</v>
      </c>
      <c r="C86" s="25">
        <f t="shared" si="15"/>
        <v>786</v>
      </c>
      <c r="D86" s="30">
        <f t="shared" si="21"/>
        <v>108.1536</v>
      </c>
      <c r="E86" s="24">
        <v>64896</v>
      </c>
      <c r="F86" s="26">
        <f t="shared" si="17"/>
        <v>553</v>
      </c>
      <c r="G86" s="31">
        <f t="shared" si="22"/>
        <v>52.479700000000001</v>
      </c>
      <c r="H86" s="31">
        <f t="shared" si="23"/>
        <v>13.78</v>
      </c>
      <c r="I86" s="27"/>
      <c r="J86" s="32">
        <f t="shared" si="13"/>
        <v>174.41329999999999</v>
      </c>
      <c r="K86" s="33">
        <f t="shared" si="20"/>
        <v>30</v>
      </c>
      <c r="L86" s="32">
        <f t="shared" si="14"/>
        <v>5.8137766666666666</v>
      </c>
    </row>
    <row r="87" spans="1:15" s="29" customFormat="1" ht="18" customHeight="1">
      <c r="A87" s="23">
        <v>41451</v>
      </c>
      <c r="B87" s="24">
        <v>66201</v>
      </c>
      <c r="C87" s="25">
        <f t="shared" si="15"/>
        <v>365</v>
      </c>
      <c r="D87" s="30">
        <f t="shared" si="21"/>
        <v>50.223999999999997</v>
      </c>
      <c r="E87" s="24">
        <v>65119</v>
      </c>
      <c r="F87" s="26">
        <f t="shared" si="17"/>
        <v>223</v>
      </c>
      <c r="G87" s="31">
        <f t="shared" si="22"/>
        <v>21.162700000000001</v>
      </c>
      <c r="H87" s="31">
        <f t="shared" si="23"/>
        <v>10.564666666666666</v>
      </c>
      <c r="I87" s="53" t="s">
        <v>24</v>
      </c>
      <c r="J87" s="32">
        <f t="shared" si="13"/>
        <v>81.951366666666658</v>
      </c>
      <c r="K87" s="33">
        <f t="shared" si="20"/>
        <v>23</v>
      </c>
      <c r="L87" s="32">
        <f t="shared" si="14"/>
        <v>3.5631028985507243</v>
      </c>
      <c r="M87" s="45">
        <f>SUM(J75:J87)</f>
        <v>2206.0572666666662</v>
      </c>
      <c r="N87" s="29">
        <v>2236.88</v>
      </c>
      <c r="O87" s="29" t="s">
        <v>25</v>
      </c>
    </row>
    <row r="88" spans="1:15" s="29" customFormat="1" ht="18" customHeight="1">
      <c r="A88" s="23">
        <v>41458</v>
      </c>
      <c r="B88" s="24">
        <v>66330</v>
      </c>
      <c r="C88" s="25">
        <f t="shared" si="15"/>
        <v>129</v>
      </c>
      <c r="D88" s="30">
        <f t="shared" si="21"/>
        <v>17.750399999999999</v>
      </c>
      <c r="E88" s="24">
        <v>65195</v>
      </c>
      <c r="F88" s="26">
        <f t="shared" si="17"/>
        <v>76</v>
      </c>
      <c r="G88" s="31">
        <f t="shared" si="22"/>
        <v>7.2123999999999997</v>
      </c>
      <c r="H88" s="31">
        <f t="shared" si="23"/>
        <v>3.2153333333333332</v>
      </c>
      <c r="I88" s="27"/>
      <c r="J88" s="32">
        <f t="shared" si="13"/>
        <v>28.178133333333331</v>
      </c>
      <c r="K88" s="33">
        <f t="shared" si="20"/>
        <v>7</v>
      </c>
      <c r="L88" s="32">
        <f t="shared" si="14"/>
        <v>4.0254476190476192</v>
      </c>
      <c r="M88" s="45"/>
    </row>
    <row r="89" spans="1:15" s="29" customFormat="1" ht="18" customHeight="1">
      <c r="A89" s="23">
        <v>41489</v>
      </c>
      <c r="B89" s="24">
        <v>66834</v>
      </c>
      <c r="C89" s="25">
        <f t="shared" si="15"/>
        <v>504</v>
      </c>
      <c r="D89" s="30">
        <f t="shared" si="21"/>
        <v>69.350399999999993</v>
      </c>
      <c r="E89" s="24">
        <v>65456</v>
      </c>
      <c r="F89" s="26">
        <f t="shared" si="17"/>
        <v>261</v>
      </c>
      <c r="G89" s="31">
        <f t="shared" si="22"/>
        <v>24.768899999999999</v>
      </c>
      <c r="H89" s="31">
        <f t="shared" si="23"/>
        <v>13.78</v>
      </c>
      <c r="I89" s="27"/>
      <c r="J89" s="32">
        <f t="shared" si="13"/>
        <v>107.8993</v>
      </c>
      <c r="K89" s="33">
        <f t="shared" si="20"/>
        <v>30</v>
      </c>
      <c r="L89" s="32">
        <f t="shared" si="14"/>
        <v>3.5966433333333332</v>
      </c>
      <c r="M89" s="45"/>
    </row>
    <row r="90" spans="1:15" s="29" customFormat="1" ht="18" customHeight="1">
      <c r="A90" s="23">
        <v>41520</v>
      </c>
      <c r="B90" s="24">
        <v>67182</v>
      </c>
      <c r="C90" s="25">
        <f t="shared" si="15"/>
        <v>348</v>
      </c>
      <c r="D90" s="30">
        <f t="shared" si="21"/>
        <v>47.884799999999998</v>
      </c>
      <c r="E90" s="24">
        <v>65655</v>
      </c>
      <c r="F90" s="26">
        <f t="shared" si="17"/>
        <v>199</v>
      </c>
      <c r="G90" s="31">
        <f t="shared" si="22"/>
        <v>18.885100000000001</v>
      </c>
      <c r="H90" s="31">
        <f t="shared" si="23"/>
        <v>13.78</v>
      </c>
      <c r="I90" s="27"/>
      <c r="J90" s="32">
        <f t="shared" si="13"/>
        <v>80.549900000000008</v>
      </c>
      <c r="K90" s="33">
        <f t="shared" si="20"/>
        <v>30</v>
      </c>
      <c r="L90" s="32">
        <f t="shared" si="14"/>
        <v>2.6849966666666671</v>
      </c>
      <c r="M90" s="45"/>
    </row>
    <row r="91" spans="1:15" s="29" customFormat="1" ht="18" customHeight="1">
      <c r="A91" s="23">
        <v>41525</v>
      </c>
      <c r="B91" s="24">
        <v>67234</v>
      </c>
      <c r="C91" s="25">
        <f t="shared" si="15"/>
        <v>52</v>
      </c>
      <c r="D91" s="30">
        <f t="shared" si="21"/>
        <v>7.1551999999999998</v>
      </c>
      <c r="E91" s="24">
        <v>65682</v>
      </c>
      <c r="F91" s="26">
        <f t="shared" si="17"/>
        <v>27</v>
      </c>
      <c r="G91" s="31">
        <f t="shared" si="22"/>
        <v>2.5623</v>
      </c>
      <c r="H91" s="31">
        <f t="shared" si="23"/>
        <v>2.2966666666666664</v>
      </c>
      <c r="I91" s="27"/>
      <c r="J91" s="32">
        <f t="shared" si="13"/>
        <v>12.014166666666666</v>
      </c>
      <c r="K91" s="33">
        <f t="shared" si="20"/>
        <v>5</v>
      </c>
      <c r="L91" s="32">
        <f t="shared" si="14"/>
        <v>2.4028333333333332</v>
      </c>
      <c r="M91" s="45"/>
    </row>
    <row r="92" spans="1:15" s="29" customFormat="1" ht="18" customHeight="1">
      <c r="A92" s="23">
        <v>41557</v>
      </c>
      <c r="B92" s="24">
        <v>67293</v>
      </c>
      <c r="C92" s="25">
        <f t="shared" si="15"/>
        <v>59</v>
      </c>
      <c r="D92" s="30">
        <f t="shared" si="21"/>
        <v>8.1183999999999994</v>
      </c>
      <c r="E92" s="24">
        <v>65717</v>
      </c>
      <c r="F92" s="26">
        <f t="shared" si="17"/>
        <v>35</v>
      </c>
      <c r="G92" s="31">
        <f t="shared" si="22"/>
        <v>3.3214999999999999</v>
      </c>
      <c r="H92" s="31">
        <f t="shared" si="23"/>
        <v>14.698666666666666</v>
      </c>
      <c r="I92" s="27"/>
      <c r="J92" s="32">
        <f t="shared" si="13"/>
        <v>26.138566666666666</v>
      </c>
      <c r="K92" s="33">
        <f t="shared" si="20"/>
        <v>32</v>
      </c>
      <c r="L92" s="32">
        <f t="shared" si="14"/>
        <v>0.81683020833333331</v>
      </c>
      <c r="M92" s="45"/>
    </row>
    <row r="93" spans="1:15" s="29" customFormat="1" ht="18" customHeight="1">
      <c r="A93" s="23">
        <v>41581</v>
      </c>
      <c r="B93" s="24">
        <v>67975</v>
      </c>
      <c r="C93" s="25">
        <f t="shared" si="15"/>
        <v>682</v>
      </c>
      <c r="D93" s="30">
        <f t="shared" si="21"/>
        <v>93.843199999999996</v>
      </c>
      <c r="E93" s="24">
        <v>66131</v>
      </c>
      <c r="F93" s="26">
        <f t="shared" si="17"/>
        <v>414</v>
      </c>
      <c r="G93" s="31">
        <f t="shared" si="22"/>
        <v>39.288600000000002</v>
      </c>
      <c r="H93" s="31">
        <f t="shared" si="23"/>
        <v>10.564666666666666</v>
      </c>
      <c r="I93" s="27"/>
      <c r="J93" s="32">
        <f t="shared" si="13"/>
        <v>143.69646666666665</v>
      </c>
      <c r="K93" s="33">
        <f t="shared" si="20"/>
        <v>23</v>
      </c>
      <c r="L93" s="32">
        <f t="shared" si="14"/>
        <v>6.2476724637681151</v>
      </c>
      <c r="M93" s="45"/>
    </row>
    <row r="94" spans="1:15" s="29" customFormat="1" ht="18" customHeight="1">
      <c r="A94" s="23">
        <v>41611</v>
      </c>
      <c r="B94" s="24">
        <v>69185</v>
      </c>
      <c r="C94" s="25">
        <f t="shared" si="15"/>
        <v>1210</v>
      </c>
      <c r="D94" s="30">
        <f t="shared" si="21"/>
        <v>166.49600000000001</v>
      </c>
      <c r="E94" s="24">
        <v>66873</v>
      </c>
      <c r="F94" s="26">
        <f t="shared" si="17"/>
        <v>742</v>
      </c>
      <c r="G94" s="31">
        <f t="shared" si="22"/>
        <v>70.415800000000004</v>
      </c>
      <c r="H94" s="31">
        <f t="shared" si="23"/>
        <v>13.78</v>
      </c>
      <c r="I94" s="27"/>
      <c r="J94" s="32">
        <f t="shared" si="13"/>
        <v>250.69180000000003</v>
      </c>
      <c r="K94" s="33">
        <f t="shared" si="20"/>
        <v>30</v>
      </c>
      <c r="L94" s="32">
        <f t="shared" si="14"/>
        <v>8.3563933333333349</v>
      </c>
      <c r="M94" s="45"/>
    </row>
    <row r="95" spans="1:15" s="29" customFormat="1" ht="18" customHeight="1">
      <c r="A95" s="23">
        <v>41632</v>
      </c>
      <c r="B95" s="24">
        <v>70115</v>
      </c>
      <c r="C95" s="25">
        <f t="shared" si="15"/>
        <v>930</v>
      </c>
      <c r="D95" s="30">
        <f t="shared" si="21"/>
        <v>127.968</v>
      </c>
      <c r="E95" s="24">
        <v>67382</v>
      </c>
      <c r="F95" s="26">
        <f t="shared" si="17"/>
        <v>509</v>
      </c>
      <c r="G95" s="31">
        <f t="shared" si="22"/>
        <v>48.304099999999998</v>
      </c>
      <c r="H95" s="31">
        <f t="shared" si="23"/>
        <v>9.645999999999999</v>
      </c>
      <c r="I95" s="27"/>
      <c r="J95" s="32">
        <f t="shared" si="13"/>
        <v>185.91809999999998</v>
      </c>
      <c r="K95" s="33">
        <f t="shared" si="20"/>
        <v>21</v>
      </c>
      <c r="L95" s="32">
        <f t="shared" si="14"/>
        <v>8.8532428571428561</v>
      </c>
      <c r="M95" s="54" t="s">
        <v>26</v>
      </c>
      <c r="N95" s="54"/>
    </row>
    <row r="96" spans="1:15" s="29" customFormat="1" ht="18" customHeight="1">
      <c r="A96" s="55" t="s">
        <v>27</v>
      </c>
      <c r="B96" s="56" t="s">
        <v>2</v>
      </c>
      <c r="C96" s="56"/>
      <c r="D96" s="57">
        <v>0.151</v>
      </c>
      <c r="E96" s="52" t="s">
        <v>3</v>
      </c>
      <c r="F96" s="52"/>
      <c r="G96" s="57">
        <v>0.10440000000000001</v>
      </c>
      <c r="H96" s="57"/>
      <c r="I96" s="57" t="s">
        <v>28</v>
      </c>
      <c r="J96" s="57">
        <v>197.78</v>
      </c>
      <c r="K96" s="33"/>
      <c r="L96" s="32"/>
      <c r="M96" s="45"/>
      <c r="N96" s="45"/>
    </row>
    <row r="97" spans="1:15" s="29" customFormat="1" ht="18" customHeight="1" thickBot="1">
      <c r="A97" s="58"/>
      <c r="B97" s="59" t="s">
        <v>29</v>
      </c>
      <c r="C97" s="59"/>
      <c r="D97" s="60">
        <f>(D96-D74)/D74</f>
        <v>9.7383720930232523E-2</v>
      </c>
      <c r="E97" s="59"/>
      <c r="F97" s="59"/>
      <c r="G97" s="60">
        <f>(G96-G74)/G74</f>
        <v>0.10010537407797691</v>
      </c>
      <c r="H97" s="59"/>
      <c r="I97" s="59"/>
      <c r="J97" s="60">
        <f>(J96-L74)/L74</f>
        <v>0.19605708756652165</v>
      </c>
      <c r="K97" s="33"/>
      <c r="L97" s="32"/>
      <c r="M97" s="45"/>
      <c r="N97" s="45"/>
    </row>
    <row r="98" spans="1:15" s="29" customFormat="1" ht="18" customHeight="1">
      <c r="A98" s="23">
        <v>41643</v>
      </c>
      <c r="B98" s="24">
        <v>70574</v>
      </c>
      <c r="C98" s="25">
        <f>IF(B98&gt;0,B98-B95," ")</f>
        <v>459</v>
      </c>
      <c r="D98" s="30">
        <f>IF(B98&gt;0,$D$96*C98," ")</f>
        <v>69.308999999999997</v>
      </c>
      <c r="E98" s="24">
        <v>67662</v>
      </c>
      <c r="F98" s="26">
        <f>IF(E98&gt;0,E98-E95," ")</f>
        <v>280</v>
      </c>
      <c r="G98" s="31">
        <f>IF(E98&gt;0,$G$96*F98," ")</f>
        <v>29.232000000000003</v>
      </c>
      <c r="H98" s="31">
        <f>IF(B98&gt;1,(J96/360)*K98," ")</f>
        <v>5.4938888888888897</v>
      </c>
      <c r="I98" s="27"/>
      <c r="J98" s="32">
        <f t="shared" si="13"/>
        <v>104.03488888888889</v>
      </c>
      <c r="K98" s="33">
        <f>IF(B98&gt;1,DAYS360(A95,A98)," ")</f>
        <v>10</v>
      </c>
      <c r="L98" s="32">
        <f t="shared" si="14"/>
        <v>10.403488888888889</v>
      </c>
      <c r="M98" s="61" t="s">
        <v>30</v>
      </c>
      <c r="N98" s="62"/>
    </row>
    <row r="99" spans="1:15" s="29" customFormat="1" ht="18" customHeight="1" thickBot="1">
      <c r="A99" s="23">
        <v>41673</v>
      </c>
      <c r="B99" s="24">
        <v>71765</v>
      </c>
      <c r="C99" s="25">
        <f t="shared" si="15"/>
        <v>1191</v>
      </c>
      <c r="D99" s="30">
        <f t="shared" ref="D99:D109" si="24">IF(B99&gt;0,$D$96*C99," ")</f>
        <v>179.84100000000001</v>
      </c>
      <c r="E99" s="24">
        <v>68392</v>
      </c>
      <c r="F99" s="26">
        <f t="shared" si="17"/>
        <v>730</v>
      </c>
      <c r="G99" s="31">
        <f t="shared" ref="G99:G109" si="25">IF(E99&gt;0,$G$96*F99," ")</f>
        <v>76.212000000000003</v>
      </c>
      <c r="H99" s="31">
        <f>IF(B99&gt;1,(J97/360)*K99," ")</f>
        <v>1.5793487609525356E-2</v>
      </c>
      <c r="I99" s="27"/>
      <c r="J99" s="32">
        <f t="shared" si="13"/>
        <v>256.06879348760953</v>
      </c>
      <c r="K99" s="33">
        <f>IF(B99&gt;1,DAYS360(A98,A99)," ")</f>
        <v>29</v>
      </c>
      <c r="L99" s="32">
        <f t="shared" si="14"/>
        <v>8.8299583961244661</v>
      </c>
      <c r="M99" s="63"/>
      <c r="N99" s="64"/>
    </row>
    <row r="100" spans="1:15" s="29" customFormat="1" ht="18" customHeight="1">
      <c r="A100" s="23">
        <v>41701</v>
      </c>
      <c r="B100" s="24">
        <v>72684</v>
      </c>
      <c r="C100" s="25">
        <f t="shared" si="15"/>
        <v>919</v>
      </c>
      <c r="D100" s="30">
        <f t="shared" si="24"/>
        <v>138.76900000000001</v>
      </c>
      <c r="E100" s="24">
        <v>68954</v>
      </c>
      <c r="F100" s="26">
        <f t="shared" si="17"/>
        <v>562</v>
      </c>
      <c r="G100" s="31">
        <f t="shared" si="25"/>
        <v>58.672800000000002</v>
      </c>
      <c r="H100" s="31">
        <f t="shared" ref="H100:H109" si="26">IF(B100&gt;1,(J98/360)*K100," ")</f>
        <v>8.6695740740740739</v>
      </c>
      <c r="I100" s="27"/>
      <c r="J100" s="32">
        <f t="shared" si="13"/>
        <v>206.11137407407406</v>
      </c>
      <c r="K100" s="33">
        <f>IF(B100&gt;1,DAYS360(A99,A100)," ")</f>
        <v>30</v>
      </c>
      <c r="L100" s="32">
        <f t="shared" si="14"/>
        <v>6.8703791358024686</v>
      </c>
      <c r="M100" s="45"/>
    </row>
    <row r="101" spans="1:15" s="29" customFormat="1" ht="18" customHeight="1">
      <c r="A101" s="23">
        <v>41732</v>
      </c>
      <c r="B101" s="24">
        <v>73478</v>
      </c>
      <c r="C101" s="25">
        <f t="shared" si="15"/>
        <v>794</v>
      </c>
      <c r="D101" s="30">
        <f t="shared" si="24"/>
        <v>119.89399999999999</v>
      </c>
      <c r="E101" s="24">
        <v>69503</v>
      </c>
      <c r="F101" s="26">
        <f t="shared" si="17"/>
        <v>549</v>
      </c>
      <c r="G101" s="31">
        <f t="shared" si="25"/>
        <v>57.315600000000003</v>
      </c>
      <c r="H101" s="31">
        <f t="shared" si="26"/>
        <v>21.339066123967459</v>
      </c>
      <c r="I101" s="27"/>
      <c r="J101" s="32">
        <f t="shared" si="13"/>
        <v>198.54866612396745</v>
      </c>
      <c r="K101" s="33">
        <f>IF(B101&gt;1,DAYS360(A100,A101)," ")</f>
        <v>30</v>
      </c>
      <c r="L101" s="32">
        <f t="shared" si="14"/>
        <v>6.6182888707989154</v>
      </c>
      <c r="M101" s="45"/>
    </row>
    <row r="102" spans="1:15" s="29" customFormat="1" ht="18" customHeight="1">
      <c r="A102" s="23">
        <v>41762</v>
      </c>
      <c r="B102" s="24">
        <v>74090</v>
      </c>
      <c r="C102" s="25">
        <f t="shared" si="15"/>
        <v>612</v>
      </c>
      <c r="D102" s="30">
        <f t="shared" si="24"/>
        <v>92.411999999999992</v>
      </c>
      <c r="E102" s="24">
        <v>69922</v>
      </c>
      <c r="F102" s="26">
        <f t="shared" si="17"/>
        <v>419</v>
      </c>
      <c r="G102" s="31">
        <f t="shared" si="25"/>
        <v>43.743600000000001</v>
      </c>
      <c r="H102" s="31">
        <f t="shared" si="26"/>
        <v>17.175947839506172</v>
      </c>
      <c r="I102" s="27"/>
      <c r="J102" s="32">
        <f t="shared" si="13"/>
        <v>153.33154783950616</v>
      </c>
      <c r="K102" s="33">
        <f>IF(B102&gt;1,DAYS360(A101,A102)," ")</f>
        <v>30</v>
      </c>
      <c r="L102" s="32">
        <f t="shared" si="14"/>
        <v>5.1110515946502053</v>
      </c>
      <c r="M102" s="45"/>
    </row>
    <row r="103" spans="1:15" s="29" customFormat="1" ht="18" customHeight="1">
      <c r="A103" s="23">
        <v>41793</v>
      </c>
      <c r="B103" s="24">
        <v>74343</v>
      </c>
      <c r="C103" s="25">
        <f t="shared" si="15"/>
        <v>253</v>
      </c>
      <c r="D103" s="30">
        <f t="shared" si="24"/>
        <v>38.202999999999996</v>
      </c>
      <c r="E103" s="24">
        <v>70090</v>
      </c>
      <c r="F103" s="26">
        <f t="shared" si="17"/>
        <v>168</v>
      </c>
      <c r="G103" s="31">
        <f t="shared" si="25"/>
        <v>17.539200000000001</v>
      </c>
      <c r="H103" s="31">
        <f t="shared" si="26"/>
        <v>16.545722176997288</v>
      </c>
      <c r="I103" s="27"/>
      <c r="J103" s="32">
        <f t="shared" si="13"/>
        <v>72.287922176997284</v>
      </c>
      <c r="K103" s="33">
        <f t="shared" ref="K103:K113" si="27">IF(B103&gt;1,DAYS360(A102,A103)," ")</f>
        <v>30</v>
      </c>
      <c r="L103" s="32">
        <f t="shared" si="14"/>
        <v>2.4095974058999095</v>
      </c>
      <c r="M103" s="65" t="s">
        <v>31</v>
      </c>
      <c r="N103" s="66" t="s">
        <v>32</v>
      </c>
      <c r="O103" s="66" t="s">
        <v>33</v>
      </c>
    </row>
    <row r="104" spans="1:15" s="29" customFormat="1" ht="18" customHeight="1">
      <c r="A104" s="23">
        <v>41814</v>
      </c>
      <c r="B104" s="24">
        <v>74563</v>
      </c>
      <c r="C104" s="25">
        <f t="shared" si="15"/>
        <v>220</v>
      </c>
      <c r="D104" s="30">
        <f t="shared" si="24"/>
        <v>33.22</v>
      </c>
      <c r="E104" s="24">
        <v>70209</v>
      </c>
      <c r="F104" s="26">
        <f t="shared" si="17"/>
        <v>119</v>
      </c>
      <c r="G104" s="31">
        <f t="shared" si="25"/>
        <v>12.4236</v>
      </c>
      <c r="H104" s="31">
        <f t="shared" si="26"/>
        <v>8.9443402906378591</v>
      </c>
      <c r="I104" s="53" t="s">
        <v>24</v>
      </c>
      <c r="J104" s="32">
        <f t="shared" si="13"/>
        <v>54.58794029063786</v>
      </c>
      <c r="K104" s="33">
        <f t="shared" si="27"/>
        <v>21</v>
      </c>
      <c r="L104" s="32">
        <f>IF(B104&gt;0,J104/K104," ")</f>
        <v>2.5994257281256123</v>
      </c>
      <c r="M104" s="45">
        <f>SUM(J88:J95,J98:J104)</f>
        <v>1880.0575662150143</v>
      </c>
      <c r="N104" s="67">
        <v>1961.39</v>
      </c>
      <c r="O104" s="45">
        <f>N104-M104</f>
        <v>81.332433784985824</v>
      </c>
    </row>
    <row r="105" spans="1:15" s="29" customFormat="1" ht="18" customHeight="1">
      <c r="A105" s="23">
        <v>41823</v>
      </c>
      <c r="B105" s="24">
        <v>74618</v>
      </c>
      <c r="C105" s="25">
        <f t="shared" si="15"/>
        <v>55</v>
      </c>
      <c r="D105" s="30">
        <f t="shared" si="24"/>
        <v>8.3049999999999997</v>
      </c>
      <c r="E105" s="24">
        <v>70247</v>
      </c>
      <c r="F105" s="26">
        <f t="shared" si="17"/>
        <v>38</v>
      </c>
      <c r="G105" s="31">
        <f t="shared" si="25"/>
        <v>3.9672000000000001</v>
      </c>
      <c r="H105" s="31">
        <f t="shared" si="26"/>
        <v>1.807198054424932</v>
      </c>
      <c r="I105" s="27"/>
      <c r="J105" s="32">
        <f t="shared" si="13"/>
        <v>14.079398054424932</v>
      </c>
      <c r="K105" s="33">
        <f t="shared" si="27"/>
        <v>9</v>
      </c>
      <c r="L105" s="32">
        <f t="shared" si="14"/>
        <v>1.5643775616027702</v>
      </c>
      <c r="M105" s="45"/>
      <c r="N105" s="45"/>
    </row>
    <row r="106" spans="1:15" s="29" customFormat="1" ht="18" customHeight="1">
      <c r="A106" s="23">
        <v>41839</v>
      </c>
      <c r="B106" s="24">
        <v>74832</v>
      </c>
      <c r="C106" s="25">
        <f t="shared" si="15"/>
        <v>214</v>
      </c>
      <c r="D106" s="30">
        <f t="shared" si="24"/>
        <v>32.314</v>
      </c>
      <c r="E106" s="24">
        <v>70355</v>
      </c>
      <c r="F106" s="26">
        <f t="shared" si="17"/>
        <v>108</v>
      </c>
      <c r="G106" s="31">
        <f t="shared" si="25"/>
        <v>11.2752</v>
      </c>
      <c r="H106" s="31">
        <f t="shared" si="26"/>
        <v>2.4261306795839048</v>
      </c>
      <c r="I106" s="27"/>
      <c r="J106" s="32">
        <f t="shared" si="13"/>
        <v>46.015330679583904</v>
      </c>
      <c r="K106" s="33">
        <f t="shared" si="27"/>
        <v>16</v>
      </c>
      <c r="L106" s="32">
        <f t="shared" si="14"/>
        <v>2.875958167473994</v>
      </c>
      <c r="M106" s="45"/>
      <c r="N106" s="45"/>
    </row>
    <row r="107" spans="1:15" s="29" customFormat="1" ht="18" customHeight="1">
      <c r="A107" s="23">
        <v>41854</v>
      </c>
      <c r="B107" s="24">
        <v>75001</v>
      </c>
      <c r="C107" s="25">
        <f t="shared" si="15"/>
        <v>169</v>
      </c>
      <c r="D107" s="30">
        <f t="shared" si="24"/>
        <v>25.518999999999998</v>
      </c>
      <c r="E107" s="24">
        <v>70444</v>
      </c>
      <c r="F107" s="26">
        <f t="shared" si="17"/>
        <v>89</v>
      </c>
      <c r="G107" s="31">
        <f t="shared" si="25"/>
        <v>9.2916000000000007</v>
      </c>
      <c r="H107" s="31">
        <f t="shared" si="26"/>
        <v>0.5475321465609696</v>
      </c>
      <c r="I107" s="27"/>
      <c r="J107" s="32">
        <f t="shared" si="13"/>
        <v>35.358132146560969</v>
      </c>
      <c r="K107" s="33">
        <f t="shared" si="27"/>
        <v>14</v>
      </c>
      <c r="L107" s="32">
        <f t="shared" si="14"/>
        <v>2.5255808676114979</v>
      </c>
      <c r="M107" s="45"/>
    </row>
    <row r="108" spans="1:15" s="29" customFormat="1" ht="18" customHeight="1">
      <c r="A108" s="23">
        <v>41907</v>
      </c>
      <c r="B108" s="24">
        <v>75264</v>
      </c>
      <c r="C108" s="25">
        <f t="shared" si="15"/>
        <v>263</v>
      </c>
      <c r="D108" s="30">
        <f t="shared" si="24"/>
        <v>39.713000000000001</v>
      </c>
      <c r="E108" s="24">
        <v>70578</v>
      </c>
      <c r="F108" s="26">
        <f t="shared" si="17"/>
        <v>134</v>
      </c>
      <c r="G108" s="31">
        <f t="shared" si="25"/>
        <v>13.989600000000001</v>
      </c>
      <c r="H108" s="31">
        <f t="shared" si="26"/>
        <v>6.646658875939897</v>
      </c>
      <c r="I108" s="27"/>
      <c r="J108" s="32">
        <f t="shared" si="13"/>
        <v>60.349258875939903</v>
      </c>
      <c r="K108" s="33">
        <f t="shared" si="27"/>
        <v>52</v>
      </c>
      <c r="L108" s="32">
        <f t="shared" si="14"/>
        <v>1.160562670691152</v>
      </c>
      <c r="M108" s="45"/>
    </row>
    <row r="109" spans="1:15" s="29" customFormat="1" ht="18" customHeight="1">
      <c r="A109" s="23">
        <v>41915</v>
      </c>
      <c r="B109" s="24">
        <v>75416</v>
      </c>
      <c r="C109" s="25">
        <f t="shared" si="15"/>
        <v>152</v>
      </c>
      <c r="D109" s="30">
        <f t="shared" si="24"/>
        <v>22.951999999999998</v>
      </c>
      <c r="E109" s="24">
        <v>70674</v>
      </c>
      <c r="F109" s="26">
        <f t="shared" si="17"/>
        <v>96</v>
      </c>
      <c r="G109" s="31">
        <f t="shared" si="25"/>
        <v>10.022400000000001</v>
      </c>
      <c r="H109" s="31">
        <f t="shared" si="26"/>
        <v>0.78573626992357704</v>
      </c>
      <c r="I109" s="27"/>
      <c r="J109" s="32">
        <f t="shared" si="13"/>
        <v>33.760136269923578</v>
      </c>
      <c r="K109" s="33">
        <f t="shared" si="27"/>
        <v>8</v>
      </c>
      <c r="L109" s="32">
        <f t="shared" si="14"/>
        <v>4.2200170337404472</v>
      </c>
      <c r="M109" s="45"/>
    </row>
    <row r="110" spans="1:15" s="29" customFormat="1" ht="18" customHeight="1">
      <c r="A110" s="55" t="s">
        <v>34</v>
      </c>
      <c r="B110" s="56" t="s">
        <v>2</v>
      </c>
      <c r="C110" s="56"/>
      <c r="D110" s="57">
        <v>0.158</v>
      </c>
      <c r="E110" s="52" t="s">
        <v>3</v>
      </c>
      <c r="F110" s="52"/>
      <c r="G110" s="57">
        <v>0.1106</v>
      </c>
      <c r="H110" s="57"/>
      <c r="I110" s="57" t="s">
        <v>28</v>
      </c>
      <c r="J110" s="57">
        <f>13.28*12*1.055</f>
        <v>168.12479999999996</v>
      </c>
      <c r="K110" s="33"/>
      <c r="L110" s="32"/>
      <c r="M110" s="45"/>
    </row>
    <row r="111" spans="1:15" s="29" customFormat="1" ht="18" customHeight="1">
      <c r="A111" s="58"/>
      <c r="B111" s="59" t="s">
        <v>29</v>
      </c>
      <c r="C111" s="59"/>
      <c r="D111" s="60">
        <f>(D110-D96)/D96</f>
        <v>4.6357615894039778E-2</v>
      </c>
      <c r="E111" s="59"/>
      <c r="F111" s="59"/>
      <c r="G111" s="60">
        <f>(G110-G96)/G96</f>
        <v>5.9386973180076595E-2</v>
      </c>
      <c r="H111" s="59"/>
      <c r="I111" s="59"/>
      <c r="J111" s="60">
        <f>(J110-J96)/J96</f>
        <v>-0.14994033774901425</v>
      </c>
      <c r="K111" s="33"/>
      <c r="L111" s="32"/>
      <c r="M111" s="45"/>
    </row>
    <row r="112" spans="1:15" s="29" customFormat="1" ht="18" customHeight="1">
      <c r="A112" s="23">
        <v>41946</v>
      </c>
      <c r="B112" s="24">
        <v>76009</v>
      </c>
      <c r="C112" s="25">
        <f>IF(B112&gt;0,B112-B109," ")</f>
        <v>593</v>
      </c>
      <c r="D112" s="30">
        <f>IF(B112&gt;0,$D$110*C112," ")</f>
        <v>93.694000000000003</v>
      </c>
      <c r="E112" s="24">
        <v>71040</v>
      </c>
      <c r="F112" s="26">
        <f>IF(E112&gt;0,E112-E109," ")</f>
        <v>366</v>
      </c>
      <c r="G112" s="31">
        <f>IF(E112&gt;0,$G$110*F112," ")</f>
        <v>40.479600000000005</v>
      </c>
      <c r="H112" s="31">
        <f>IF(B112&gt;1,($J$110/360)*K112," ")</f>
        <v>14.010399999999997</v>
      </c>
      <c r="I112" s="27"/>
      <c r="J112" s="32">
        <f t="shared" ref="J112:J144" si="28">IF(B112&gt;0,D112+G112+H112," ")</f>
        <v>148.18400000000003</v>
      </c>
      <c r="K112" s="33">
        <f>IF(B112&gt;1,DAYS360(A109,A112)," ")</f>
        <v>30</v>
      </c>
      <c r="L112" s="32">
        <f t="shared" ref="L112:L144" si="29">IF(B112&gt;0,J112/K112," ")</f>
        <v>4.9394666666666671</v>
      </c>
      <c r="M112" s="45"/>
    </row>
    <row r="113" spans="1:15" s="29" customFormat="1" ht="18" customHeight="1">
      <c r="A113" s="23">
        <v>41976</v>
      </c>
      <c r="B113" s="24">
        <v>76860</v>
      </c>
      <c r="C113" s="25">
        <f>IF(B113&gt;0,B113-B112," ")</f>
        <v>851</v>
      </c>
      <c r="D113" s="30">
        <f>IF(B113&gt;0,$D$110*C113," ")</f>
        <v>134.458</v>
      </c>
      <c r="E113" s="24">
        <v>71536</v>
      </c>
      <c r="F113" s="26">
        <f>IF(E113&gt;0,E113-E112," ")</f>
        <v>496</v>
      </c>
      <c r="G113" s="31">
        <f t="shared" ref="G113:G123" si="30">IF(E113&gt;0,$G$110*F113," ")</f>
        <v>54.857600000000005</v>
      </c>
      <c r="H113" s="31">
        <f>IF(B113&gt;1,($J$110/360)*K113," ")</f>
        <v>14.010399999999997</v>
      </c>
      <c r="I113" s="27"/>
      <c r="J113" s="32">
        <f t="shared" si="28"/>
        <v>203.32600000000002</v>
      </c>
      <c r="K113" s="33">
        <f t="shared" si="27"/>
        <v>30</v>
      </c>
      <c r="L113" s="32">
        <f t="shared" si="29"/>
        <v>6.7775333333333343</v>
      </c>
      <c r="M113" s="45"/>
    </row>
    <row r="114" spans="1:15" s="29" customFormat="1" ht="18" customHeight="1">
      <c r="A114" s="23">
        <v>42007</v>
      </c>
      <c r="B114" s="24">
        <v>78185</v>
      </c>
      <c r="C114" s="25">
        <f>IF(B114&gt;0,B114-B113," ")</f>
        <v>1325</v>
      </c>
      <c r="D114" s="30">
        <f>IF(B114&gt;0,$D$110*C114," ")</f>
        <v>209.35</v>
      </c>
      <c r="E114" s="24">
        <v>72264</v>
      </c>
      <c r="F114" s="26">
        <f>IF(E114&gt;0,E114-E113," ")</f>
        <v>728</v>
      </c>
      <c r="G114" s="31">
        <f t="shared" si="30"/>
        <v>80.516800000000003</v>
      </c>
      <c r="H114" s="31">
        <f>IF(B114&gt;1,($J$110/360)*K114," ")</f>
        <v>14.010399999999997</v>
      </c>
      <c r="I114" s="27"/>
      <c r="J114" s="32">
        <f t="shared" si="28"/>
        <v>303.87720000000002</v>
      </c>
      <c r="K114" s="33">
        <f>IF(B114&gt;1,DAYS360(A113,A114)," ")</f>
        <v>30</v>
      </c>
      <c r="L114" s="32">
        <f t="shared" si="29"/>
        <v>10.129240000000001</v>
      </c>
      <c r="M114" s="45"/>
    </row>
    <row r="115" spans="1:15" s="29" customFormat="1" ht="18" customHeight="1">
      <c r="A115" s="23">
        <v>42038</v>
      </c>
      <c r="B115" s="24">
        <v>79674</v>
      </c>
      <c r="C115" s="25">
        <f t="shared" ref="C115:C120" si="31">IF(B115&gt;0,B115-B114," ")</f>
        <v>1489</v>
      </c>
      <c r="D115" s="30">
        <f t="shared" ref="D115:D116" si="32">IF(B115&gt;0,$D$110*C115," ")</f>
        <v>235.262</v>
      </c>
      <c r="E115" s="24">
        <v>73076</v>
      </c>
      <c r="F115" s="26">
        <f t="shared" ref="F115:F120" si="33">IF(E115&gt;0,E115-E114," ")</f>
        <v>812</v>
      </c>
      <c r="G115" s="31">
        <f t="shared" si="30"/>
        <v>89.807200000000009</v>
      </c>
      <c r="H115" s="31">
        <f t="shared" ref="H115:H123" si="34">IF(B115&gt;1,($J$110/360)*K115," ")</f>
        <v>14.010399999999997</v>
      </c>
      <c r="I115" s="27"/>
      <c r="J115" s="32">
        <f t="shared" si="28"/>
        <v>339.07960000000003</v>
      </c>
      <c r="K115" s="33">
        <f t="shared" ref="K115:K120" si="35">IF(B115&gt;1,DAYS360(A114,A115)," ")</f>
        <v>30</v>
      </c>
      <c r="L115" s="32">
        <f t="shared" si="29"/>
        <v>11.302653333333334</v>
      </c>
      <c r="M115" s="45"/>
    </row>
    <row r="116" spans="1:15" s="29" customFormat="1" ht="18" customHeight="1">
      <c r="A116" s="23">
        <v>42066</v>
      </c>
      <c r="B116" s="24">
        <v>80838</v>
      </c>
      <c r="C116" s="25">
        <f t="shared" si="31"/>
        <v>1164</v>
      </c>
      <c r="D116" s="30">
        <f t="shared" si="32"/>
        <v>183.91200000000001</v>
      </c>
      <c r="E116" s="24">
        <v>73770</v>
      </c>
      <c r="F116" s="26">
        <f t="shared" si="33"/>
        <v>694</v>
      </c>
      <c r="G116" s="31">
        <f t="shared" si="30"/>
        <v>76.756399999999999</v>
      </c>
      <c r="H116" s="31">
        <f t="shared" si="34"/>
        <v>14.010399999999997</v>
      </c>
      <c r="I116" s="27"/>
      <c r="J116" s="32">
        <f t="shared" si="28"/>
        <v>274.67880000000002</v>
      </c>
      <c r="K116" s="33">
        <f t="shared" si="35"/>
        <v>30</v>
      </c>
      <c r="L116" s="32">
        <f t="shared" si="29"/>
        <v>9.1559600000000003</v>
      </c>
      <c r="M116" s="45"/>
    </row>
    <row r="117" spans="1:15" s="29" customFormat="1" ht="18" customHeight="1">
      <c r="A117" s="23">
        <v>42097</v>
      </c>
      <c r="B117" s="24">
        <v>81718</v>
      </c>
      <c r="C117" s="25">
        <f>IF(B117&gt;0,B117-B116," ")</f>
        <v>880</v>
      </c>
      <c r="D117" s="30">
        <f>IF(B117&gt;0,$D$110*C117," ")</f>
        <v>139.04</v>
      </c>
      <c r="E117" s="24">
        <v>74388</v>
      </c>
      <c r="F117" s="26">
        <f t="shared" si="33"/>
        <v>618</v>
      </c>
      <c r="G117" s="31">
        <f t="shared" si="30"/>
        <v>68.350800000000007</v>
      </c>
      <c r="H117" s="31">
        <f t="shared" si="34"/>
        <v>14.010399999999997</v>
      </c>
      <c r="I117" s="27"/>
      <c r="J117" s="32">
        <f t="shared" si="28"/>
        <v>221.40120000000002</v>
      </c>
      <c r="K117" s="33">
        <f t="shared" si="35"/>
        <v>30</v>
      </c>
      <c r="L117" s="32">
        <f t="shared" si="29"/>
        <v>7.3800400000000002</v>
      </c>
      <c r="M117" s="45"/>
    </row>
    <row r="118" spans="1:15" s="29" customFormat="1" ht="18" customHeight="1">
      <c r="A118" s="23">
        <v>42127</v>
      </c>
      <c r="B118" s="24">
        <v>82302</v>
      </c>
      <c r="C118" s="25">
        <f t="shared" si="31"/>
        <v>584</v>
      </c>
      <c r="D118" s="30">
        <f t="shared" ref="D118:D123" si="36">IF(B118&gt;0,$D$110*C118," ")</f>
        <v>92.272000000000006</v>
      </c>
      <c r="E118" s="24">
        <v>74779</v>
      </c>
      <c r="F118" s="26">
        <f t="shared" si="33"/>
        <v>391</v>
      </c>
      <c r="G118" s="31">
        <f t="shared" si="30"/>
        <v>43.244599999999998</v>
      </c>
      <c r="H118" s="31">
        <f t="shared" si="34"/>
        <v>14.010399999999997</v>
      </c>
      <c r="I118" s="27"/>
      <c r="J118" s="32">
        <f t="shared" si="28"/>
        <v>149.52700000000002</v>
      </c>
      <c r="K118" s="33">
        <f t="shared" si="35"/>
        <v>30</v>
      </c>
      <c r="L118" s="32">
        <f t="shared" si="29"/>
        <v>4.984233333333334</v>
      </c>
      <c r="M118" s="65" t="s">
        <v>35</v>
      </c>
      <c r="N118" s="66" t="s">
        <v>32</v>
      </c>
      <c r="O118" s="66" t="s">
        <v>33</v>
      </c>
    </row>
    <row r="119" spans="1:15" s="29" customFormat="1" ht="18" customHeight="1">
      <c r="A119" s="23">
        <v>42158</v>
      </c>
      <c r="B119" s="24">
        <v>82789</v>
      </c>
      <c r="C119" s="25">
        <f t="shared" si="31"/>
        <v>487</v>
      </c>
      <c r="D119" s="30">
        <f t="shared" si="36"/>
        <v>76.945999999999998</v>
      </c>
      <c r="E119" s="24">
        <v>75106</v>
      </c>
      <c r="F119" s="26">
        <f t="shared" si="33"/>
        <v>327</v>
      </c>
      <c r="G119" s="31">
        <f t="shared" si="30"/>
        <v>36.166200000000003</v>
      </c>
      <c r="H119" s="31">
        <f t="shared" si="34"/>
        <v>14.010399999999997</v>
      </c>
      <c r="I119" s="27"/>
      <c r="J119" s="32">
        <f t="shared" si="28"/>
        <v>127.12260000000001</v>
      </c>
      <c r="K119" s="33">
        <f t="shared" si="35"/>
        <v>30</v>
      </c>
      <c r="L119" s="32">
        <f t="shared" si="29"/>
        <v>4.2374200000000002</v>
      </c>
      <c r="M119" s="45">
        <f>SUM(J105:J120)-J110</f>
        <v>2025.8713956886841</v>
      </c>
      <c r="N119" s="68">
        <f>2109.21+110.98</f>
        <v>2220.19</v>
      </c>
      <c r="O119" s="45">
        <f>N119-M119</f>
        <v>194.31860431131599</v>
      </c>
    </row>
    <row r="120" spans="1:15" s="29" customFormat="1" ht="18" customHeight="1">
      <c r="A120" s="23">
        <v>42179</v>
      </c>
      <c r="B120" s="24">
        <v>83061</v>
      </c>
      <c r="C120" s="25">
        <f t="shared" si="31"/>
        <v>272</v>
      </c>
      <c r="D120" s="30">
        <f t="shared" si="36"/>
        <v>42.975999999999999</v>
      </c>
      <c r="E120" s="24">
        <v>75255</v>
      </c>
      <c r="F120" s="26">
        <f t="shared" si="33"/>
        <v>149</v>
      </c>
      <c r="G120" s="31">
        <f t="shared" si="30"/>
        <v>16.479400000000002</v>
      </c>
      <c r="H120" s="31">
        <f t="shared" si="34"/>
        <v>9.8072799999999969</v>
      </c>
      <c r="I120" s="27"/>
      <c r="J120" s="32">
        <f t="shared" si="28"/>
        <v>69.262679999999989</v>
      </c>
      <c r="K120" s="33">
        <f t="shared" si="35"/>
        <v>21</v>
      </c>
      <c r="L120" s="32">
        <f t="shared" si="29"/>
        <v>3.2982228571428567</v>
      </c>
      <c r="M120" s="45"/>
      <c r="O120" s="66" t="s">
        <v>36</v>
      </c>
    </row>
    <row r="121" spans="1:15" s="29" customFormat="1" ht="18" customHeight="1">
      <c r="A121" s="23"/>
      <c r="B121" s="24"/>
      <c r="C121" s="25" t="str">
        <f t="shared" ref="C121:C123" si="37">IF(B121&gt;0,B121-B118," ")</f>
        <v xml:space="preserve"> </v>
      </c>
      <c r="D121" s="30" t="str">
        <f t="shared" si="36"/>
        <v xml:space="preserve"> </v>
      </c>
      <c r="E121" s="24"/>
      <c r="F121" s="26" t="str">
        <f t="shared" ref="F121:F123" si="38">IF(E121&gt;0,E121-E118," ")</f>
        <v xml:space="preserve"> </v>
      </c>
      <c r="G121" s="31" t="str">
        <f t="shared" si="30"/>
        <v xml:space="preserve"> </v>
      </c>
      <c r="H121" s="31" t="str">
        <f t="shared" si="34"/>
        <v xml:space="preserve"> </v>
      </c>
      <c r="I121" s="27"/>
      <c r="J121" s="32" t="str">
        <f t="shared" si="28"/>
        <v xml:space="preserve"> </v>
      </c>
      <c r="K121" s="33" t="str">
        <f t="shared" ref="K121:K123" si="39">IF(B121&gt;1,DAYS360(A118,A121)," ")</f>
        <v xml:space="preserve"> </v>
      </c>
      <c r="L121" s="32" t="str">
        <f t="shared" si="29"/>
        <v xml:space="preserve"> </v>
      </c>
      <c r="M121" s="45"/>
    </row>
    <row r="122" spans="1:15" s="29" customFormat="1" ht="18" customHeight="1">
      <c r="A122" s="23"/>
      <c r="B122" s="24"/>
      <c r="C122" s="25" t="str">
        <f t="shared" si="37"/>
        <v xml:space="preserve"> </v>
      </c>
      <c r="D122" s="30" t="str">
        <f t="shared" si="36"/>
        <v xml:space="preserve"> </v>
      </c>
      <c r="E122" s="24"/>
      <c r="F122" s="26" t="str">
        <f t="shared" si="38"/>
        <v xml:space="preserve"> </v>
      </c>
      <c r="G122" s="31" t="str">
        <f t="shared" si="30"/>
        <v xml:space="preserve"> </v>
      </c>
      <c r="H122" s="31" t="str">
        <f t="shared" si="34"/>
        <v xml:space="preserve"> </v>
      </c>
      <c r="I122" s="27"/>
      <c r="J122" s="32" t="str">
        <f t="shared" si="28"/>
        <v xml:space="preserve"> </v>
      </c>
      <c r="K122" s="33" t="str">
        <f t="shared" si="39"/>
        <v xml:space="preserve"> </v>
      </c>
      <c r="L122" s="32" t="str">
        <f t="shared" si="29"/>
        <v xml:space="preserve"> </v>
      </c>
      <c r="M122" s="45"/>
    </row>
    <row r="123" spans="1:15" s="29" customFormat="1" ht="18" customHeight="1">
      <c r="A123" s="23">
        <v>42188</v>
      </c>
      <c r="B123" s="24">
        <v>83092</v>
      </c>
      <c r="C123" s="25">
        <f t="shared" si="37"/>
        <v>31</v>
      </c>
      <c r="D123" s="30">
        <f t="shared" si="36"/>
        <v>4.8979999999999997</v>
      </c>
      <c r="E123" s="24">
        <v>75269</v>
      </c>
      <c r="F123" s="26">
        <f t="shared" si="38"/>
        <v>14</v>
      </c>
      <c r="G123" s="31">
        <f t="shared" si="30"/>
        <v>1.5484</v>
      </c>
      <c r="H123" s="31">
        <f t="shared" si="34"/>
        <v>4.2031199999999993</v>
      </c>
      <c r="I123" s="27"/>
      <c r="J123" s="32">
        <f t="shared" si="28"/>
        <v>10.649519999999999</v>
      </c>
      <c r="K123" s="33">
        <f t="shared" si="39"/>
        <v>9</v>
      </c>
      <c r="L123" s="32">
        <f t="shared" si="29"/>
        <v>1.1832799999999999</v>
      </c>
      <c r="M123" s="45"/>
    </row>
    <row r="124" spans="1:15" s="29" customFormat="1" ht="18" customHeight="1">
      <c r="A124" s="69">
        <v>42156</v>
      </c>
      <c r="B124" s="70" t="s">
        <v>2</v>
      </c>
      <c r="C124" s="70"/>
      <c r="D124" s="71">
        <v>0.15040000000000001</v>
      </c>
      <c r="E124" s="72" t="s">
        <v>3</v>
      </c>
      <c r="F124" s="72"/>
      <c r="G124" s="71">
        <v>0.1051</v>
      </c>
      <c r="H124" s="71"/>
      <c r="I124" s="71" t="s">
        <v>28</v>
      </c>
      <c r="J124" s="71">
        <v>200.64</v>
      </c>
      <c r="K124" s="73" t="s">
        <v>37</v>
      </c>
      <c r="L124" s="74"/>
      <c r="M124" s="74"/>
      <c r="N124" s="74"/>
    </row>
    <row r="125" spans="1:15" s="29" customFormat="1" ht="47.25" customHeight="1">
      <c r="A125" s="23">
        <v>42207</v>
      </c>
      <c r="B125" s="24">
        <v>83266</v>
      </c>
      <c r="C125" s="25">
        <f>IF(B125&gt;0,B125-B123," ")</f>
        <v>174</v>
      </c>
      <c r="D125" s="30">
        <f>IF(B125&gt;0,$D$124*C125," ")</f>
        <v>26.169600000000003</v>
      </c>
      <c r="E125" s="24">
        <v>75386</v>
      </c>
      <c r="F125" s="26">
        <f>IF(E125&gt;0,E125-E123," ")</f>
        <v>117</v>
      </c>
      <c r="G125" s="31">
        <f>IF(E125&gt;0,$G$124*F125," ")</f>
        <v>12.2967</v>
      </c>
      <c r="H125" s="31">
        <f>IF(B125&gt;1,($J$124/360)*K125," ")</f>
        <v>10.589333333333334</v>
      </c>
      <c r="I125" s="27"/>
      <c r="J125" s="32">
        <f t="shared" si="28"/>
        <v>49.05563333333334</v>
      </c>
      <c r="K125" s="33">
        <f>IF(B125&gt;1,DAYS360(A123,A125)," ")</f>
        <v>19</v>
      </c>
      <c r="L125" s="32">
        <f t="shared" si="29"/>
        <v>2.5818754385964917</v>
      </c>
      <c r="M125" s="75" t="s">
        <v>38</v>
      </c>
      <c r="N125" s="76"/>
      <c r="O125" s="76"/>
    </row>
    <row r="126" spans="1:15" s="29" customFormat="1" ht="18" customHeight="1">
      <c r="A126" s="77">
        <v>42209</v>
      </c>
      <c r="B126" s="78">
        <v>83370</v>
      </c>
      <c r="C126" s="25">
        <f>IF(B126&gt;0,B126-B125," ")</f>
        <v>104</v>
      </c>
      <c r="D126" s="30">
        <f t="shared" ref="D126:D144" si="40">IF(B126&gt;0,$D$124*C126," ")</f>
        <v>15.6416</v>
      </c>
      <c r="E126" s="78">
        <v>75434</v>
      </c>
      <c r="F126" s="26">
        <f>IF(E126&gt;0,E126-E125," ")</f>
        <v>48</v>
      </c>
      <c r="G126" s="31">
        <f t="shared" ref="G126:G144" si="41">IF(E126&gt;0,$G$124*F126," ")</f>
        <v>5.0448000000000004</v>
      </c>
      <c r="H126" s="31">
        <f t="shared" ref="H126:H144" si="42">IF(B126&gt;1,($J$124/360)*K126," ")</f>
        <v>1.1146666666666667</v>
      </c>
      <c r="I126" s="79"/>
      <c r="J126" s="32">
        <f t="shared" si="28"/>
        <v>21.801066666666667</v>
      </c>
      <c r="K126" s="33">
        <f>IF(B126&gt;1,DAYS360(A125,A126)," ")</f>
        <v>2</v>
      </c>
      <c r="L126" s="32">
        <f t="shared" si="29"/>
        <v>10.900533333333334</v>
      </c>
      <c r="M126" s="54" t="s">
        <v>39</v>
      </c>
      <c r="N126" s="54"/>
      <c r="O126" s="54"/>
    </row>
    <row r="127" spans="1:15" s="29" customFormat="1" ht="18" customHeight="1">
      <c r="A127" s="23">
        <v>42216</v>
      </c>
      <c r="B127" s="24">
        <v>83344</v>
      </c>
      <c r="C127" s="25">
        <f t="shared" ref="C127:C144" si="43">IF(B127&gt;0,B127-B126," ")</f>
        <v>-26</v>
      </c>
      <c r="D127" s="30">
        <f t="shared" si="40"/>
        <v>-3.9104000000000001</v>
      </c>
      <c r="E127" s="24">
        <v>75433</v>
      </c>
      <c r="F127" s="26">
        <f t="shared" ref="F127:F128" si="44">IF(E127&gt;0,E127-E125," ")</f>
        <v>47</v>
      </c>
      <c r="G127" s="31">
        <f t="shared" si="41"/>
        <v>4.9397000000000002</v>
      </c>
      <c r="H127" s="31">
        <f t="shared" si="42"/>
        <v>3.9013333333333335</v>
      </c>
      <c r="I127" s="27"/>
      <c r="J127" s="32">
        <f t="shared" si="28"/>
        <v>4.9306333333333336</v>
      </c>
      <c r="K127" s="33">
        <f t="shared" ref="K127:K156" si="45">IF(B127&gt;1,DAYS360(A126,A127)," ")</f>
        <v>7</v>
      </c>
      <c r="L127" s="32">
        <f t="shared" si="29"/>
        <v>0.70437619047619049</v>
      </c>
      <c r="M127" s="80" t="s">
        <v>40</v>
      </c>
      <c r="N127" s="80"/>
      <c r="O127" s="80"/>
    </row>
    <row r="128" spans="1:15" s="29" customFormat="1" ht="18" customHeight="1">
      <c r="A128" s="23">
        <v>42219</v>
      </c>
      <c r="B128" s="24">
        <v>83373</v>
      </c>
      <c r="C128" s="25">
        <f t="shared" si="43"/>
        <v>29</v>
      </c>
      <c r="D128" s="30">
        <f t="shared" si="40"/>
        <v>4.3616000000000001</v>
      </c>
      <c r="E128" s="24">
        <v>75450</v>
      </c>
      <c r="F128" s="26">
        <f t="shared" si="44"/>
        <v>16</v>
      </c>
      <c r="G128" s="31">
        <f t="shared" si="41"/>
        <v>1.6816</v>
      </c>
      <c r="H128" s="31">
        <f t="shared" si="42"/>
        <v>1.6720000000000002</v>
      </c>
      <c r="I128" s="27"/>
      <c r="J128" s="32">
        <f t="shared" si="28"/>
        <v>7.7152000000000012</v>
      </c>
      <c r="K128" s="33">
        <f t="shared" si="45"/>
        <v>3</v>
      </c>
      <c r="L128" s="32">
        <f t="shared" si="29"/>
        <v>2.5717333333333339</v>
      </c>
      <c r="M128" s="45"/>
    </row>
    <row r="129" spans="1:14" s="29" customFormat="1" ht="18" customHeight="1">
      <c r="A129" s="23">
        <v>42250</v>
      </c>
      <c r="B129" s="24">
        <v>83713</v>
      </c>
      <c r="C129" s="25">
        <f t="shared" si="43"/>
        <v>340</v>
      </c>
      <c r="D129" s="30">
        <f t="shared" si="40"/>
        <v>51.136000000000003</v>
      </c>
      <c r="E129" s="24">
        <v>75630</v>
      </c>
      <c r="F129" s="26">
        <f>IF(E129&gt;0,E129-E128," ")</f>
        <v>180</v>
      </c>
      <c r="G129" s="31">
        <f t="shared" si="41"/>
        <v>18.917999999999999</v>
      </c>
      <c r="H129" s="31">
        <f t="shared" si="42"/>
        <v>16.72</v>
      </c>
      <c r="I129" s="27"/>
      <c r="J129" s="32">
        <f t="shared" si="28"/>
        <v>86.774000000000001</v>
      </c>
      <c r="K129" s="33">
        <f t="shared" si="45"/>
        <v>30</v>
      </c>
      <c r="L129" s="32">
        <f t="shared" si="29"/>
        <v>2.8924666666666665</v>
      </c>
      <c r="M129" s="45"/>
    </row>
    <row r="130" spans="1:14" s="29" customFormat="1" ht="18" customHeight="1">
      <c r="A130" s="23">
        <v>42283</v>
      </c>
      <c r="B130" s="24">
        <v>83953</v>
      </c>
      <c r="C130" s="25">
        <f t="shared" si="43"/>
        <v>240</v>
      </c>
      <c r="D130" s="30">
        <f t="shared" si="40"/>
        <v>36.096000000000004</v>
      </c>
      <c r="E130" s="24">
        <v>75768</v>
      </c>
      <c r="F130" s="26">
        <f t="shared" ref="F130:F144" si="46">IF(E130&gt;0,E130-E129," ")</f>
        <v>138</v>
      </c>
      <c r="G130" s="31">
        <f t="shared" si="41"/>
        <v>14.5038</v>
      </c>
      <c r="H130" s="31">
        <f t="shared" si="42"/>
        <v>18.391999999999999</v>
      </c>
      <c r="I130" s="27"/>
      <c r="J130" s="32">
        <f t="shared" si="28"/>
        <v>68.991799999999998</v>
      </c>
      <c r="K130" s="33">
        <f t="shared" si="45"/>
        <v>33</v>
      </c>
      <c r="L130" s="32">
        <f t="shared" si="29"/>
        <v>2.0906606060606059</v>
      </c>
      <c r="M130" s="45"/>
    </row>
    <row r="131" spans="1:14" s="29" customFormat="1" ht="18" customHeight="1">
      <c r="A131" s="23">
        <v>42311</v>
      </c>
      <c r="B131" s="24">
        <v>84240</v>
      </c>
      <c r="C131" s="25">
        <f t="shared" si="43"/>
        <v>287</v>
      </c>
      <c r="D131" s="30">
        <f t="shared" si="40"/>
        <v>43.1648</v>
      </c>
      <c r="E131" s="24">
        <v>75888</v>
      </c>
      <c r="F131" s="26">
        <f t="shared" si="46"/>
        <v>120</v>
      </c>
      <c r="G131" s="31">
        <f t="shared" si="41"/>
        <v>12.612</v>
      </c>
      <c r="H131" s="31">
        <f t="shared" si="42"/>
        <v>15.048</v>
      </c>
      <c r="I131" s="27"/>
      <c r="J131" s="32">
        <f t="shared" si="28"/>
        <v>70.824799999999996</v>
      </c>
      <c r="K131" s="33">
        <f t="shared" si="45"/>
        <v>27</v>
      </c>
      <c r="L131" s="32">
        <f t="shared" si="29"/>
        <v>2.6231407407407406</v>
      </c>
      <c r="M131" s="45"/>
    </row>
    <row r="132" spans="1:14" s="29" customFormat="1" ht="18" customHeight="1">
      <c r="A132" s="23">
        <v>42341</v>
      </c>
      <c r="B132" s="24">
        <v>84575</v>
      </c>
      <c r="C132" s="25">
        <f t="shared" si="43"/>
        <v>335</v>
      </c>
      <c r="D132" s="30">
        <f t="shared" si="40"/>
        <v>50.384</v>
      </c>
      <c r="E132" s="24">
        <v>76016</v>
      </c>
      <c r="F132" s="26">
        <f t="shared" si="46"/>
        <v>128</v>
      </c>
      <c r="G132" s="31">
        <f t="shared" si="41"/>
        <v>13.4528</v>
      </c>
      <c r="H132" s="31">
        <f t="shared" si="42"/>
        <v>16.72</v>
      </c>
      <c r="I132" s="27"/>
      <c r="J132" s="32">
        <f t="shared" si="28"/>
        <v>80.556799999999996</v>
      </c>
      <c r="K132" s="33">
        <f t="shared" si="45"/>
        <v>30</v>
      </c>
      <c r="L132" s="32">
        <f t="shared" si="29"/>
        <v>2.6852266666666664</v>
      </c>
      <c r="M132" s="45"/>
    </row>
    <row r="133" spans="1:14" s="29" customFormat="1" ht="18" customHeight="1">
      <c r="A133" s="23">
        <v>42372</v>
      </c>
      <c r="B133" s="24">
        <v>84909</v>
      </c>
      <c r="C133" s="25">
        <f t="shared" si="43"/>
        <v>334</v>
      </c>
      <c r="D133" s="30">
        <f t="shared" si="40"/>
        <v>50.233600000000003</v>
      </c>
      <c r="E133" s="24">
        <v>76144</v>
      </c>
      <c r="F133" s="26">
        <f t="shared" si="46"/>
        <v>128</v>
      </c>
      <c r="G133" s="31">
        <f t="shared" si="41"/>
        <v>13.4528</v>
      </c>
      <c r="H133" s="31">
        <f t="shared" si="42"/>
        <v>16.72</v>
      </c>
      <c r="I133" s="27"/>
      <c r="J133" s="32">
        <f t="shared" si="28"/>
        <v>80.406400000000005</v>
      </c>
      <c r="K133" s="33">
        <f t="shared" si="45"/>
        <v>30</v>
      </c>
      <c r="L133" s="32">
        <f t="shared" si="29"/>
        <v>2.6802133333333336</v>
      </c>
      <c r="M133" s="45"/>
    </row>
    <row r="134" spans="1:14" s="29" customFormat="1" ht="18" customHeight="1">
      <c r="A134" s="23">
        <v>42403</v>
      </c>
      <c r="B134" s="24">
        <v>85229</v>
      </c>
      <c r="C134" s="25">
        <f t="shared" si="43"/>
        <v>320</v>
      </c>
      <c r="D134" s="30">
        <f t="shared" si="40"/>
        <v>48.128</v>
      </c>
      <c r="E134" s="24">
        <v>76281</v>
      </c>
      <c r="F134" s="26">
        <f t="shared" si="46"/>
        <v>137</v>
      </c>
      <c r="G134" s="31">
        <f t="shared" si="41"/>
        <v>14.3987</v>
      </c>
      <c r="H134" s="31">
        <f t="shared" si="42"/>
        <v>16.72</v>
      </c>
      <c r="I134" s="27"/>
      <c r="J134" s="32">
        <f t="shared" si="28"/>
        <v>79.246700000000004</v>
      </c>
      <c r="K134" s="33">
        <f t="shared" si="45"/>
        <v>30</v>
      </c>
      <c r="L134" s="32">
        <f t="shared" si="29"/>
        <v>2.6415566666666668</v>
      </c>
      <c r="M134" s="45"/>
    </row>
    <row r="135" spans="1:14" s="29" customFormat="1" ht="18" customHeight="1">
      <c r="A135" s="23">
        <v>42432</v>
      </c>
      <c r="B135" s="24">
        <v>85533</v>
      </c>
      <c r="C135" s="25">
        <f t="shared" si="43"/>
        <v>304</v>
      </c>
      <c r="D135" s="30">
        <f t="shared" si="40"/>
        <v>45.721600000000002</v>
      </c>
      <c r="E135" s="24">
        <v>76412</v>
      </c>
      <c r="F135" s="26">
        <f t="shared" si="46"/>
        <v>131</v>
      </c>
      <c r="G135" s="31">
        <f t="shared" si="41"/>
        <v>13.7681</v>
      </c>
      <c r="H135" s="31">
        <f t="shared" si="42"/>
        <v>16.72</v>
      </c>
      <c r="I135" s="27"/>
      <c r="J135" s="32">
        <f t="shared" si="28"/>
        <v>76.209699999999998</v>
      </c>
      <c r="K135" s="33">
        <f t="shared" si="45"/>
        <v>30</v>
      </c>
      <c r="L135" s="32">
        <f t="shared" si="29"/>
        <v>2.5403233333333333</v>
      </c>
      <c r="M135" s="45"/>
    </row>
    <row r="136" spans="1:14" s="29" customFormat="1" ht="18" customHeight="1">
      <c r="A136" s="23">
        <v>42463</v>
      </c>
      <c r="B136" s="24">
        <v>85876</v>
      </c>
      <c r="C136" s="25">
        <f t="shared" si="43"/>
        <v>343</v>
      </c>
      <c r="D136" s="30">
        <f t="shared" si="40"/>
        <v>51.587200000000003</v>
      </c>
      <c r="E136" s="24">
        <v>76555</v>
      </c>
      <c r="F136" s="26">
        <f t="shared" si="46"/>
        <v>143</v>
      </c>
      <c r="G136" s="31">
        <f t="shared" si="41"/>
        <v>15.029299999999999</v>
      </c>
      <c r="H136" s="31">
        <f t="shared" si="42"/>
        <v>16.72</v>
      </c>
      <c r="I136" s="27"/>
      <c r="J136" s="32">
        <f t="shared" si="28"/>
        <v>83.336500000000001</v>
      </c>
      <c r="K136" s="33">
        <f t="shared" si="45"/>
        <v>30</v>
      </c>
      <c r="L136" s="32">
        <f t="shared" si="29"/>
        <v>2.7778833333333335</v>
      </c>
      <c r="M136" s="45"/>
    </row>
    <row r="137" spans="1:14" s="29" customFormat="1" ht="18" customHeight="1">
      <c r="A137" s="23">
        <v>42493</v>
      </c>
      <c r="B137" s="24">
        <v>86176</v>
      </c>
      <c r="C137" s="25">
        <f t="shared" si="43"/>
        <v>300</v>
      </c>
      <c r="D137" s="30">
        <f t="shared" si="40"/>
        <v>45.120000000000005</v>
      </c>
      <c r="E137" s="24">
        <v>76688</v>
      </c>
      <c r="F137" s="26">
        <f t="shared" si="46"/>
        <v>133</v>
      </c>
      <c r="G137" s="31">
        <f t="shared" si="41"/>
        <v>13.978299999999999</v>
      </c>
      <c r="H137" s="31">
        <f t="shared" si="42"/>
        <v>16.72</v>
      </c>
      <c r="I137" s="27"/>
      <c r="J137" s="32">
        <f t="shared" si="28"/>
        <v>75.818299999999994</v>
      </c>
      <c r="K137" s="33">
        <f t="shared" si="45"/>
        <v>30</v>
      </c>
      <c r="L137" s="32">
        <f t="shared" si="29"/>
        <v>2.5272766666666664</v>
      </c>
      <c r="M137" s="45"/>
    </row>
    <row r="138" spans="1:14" s="29" customFormat="1" ht="18" customHeight="1">
      <c r="A138" s="23">
        <v>42523</v>
      </c>
      <c r="B138" s="24">
        <v>86478</v>
      </c>
      <c r="C138" s="25">
        <f t="shared" si="43"/>
        <v>302</v>
      </c>
      <c r="D138" s="30">
        <f t="shared" si="40"/>
        <v>45.4208</v>
      </c>
      <c r="E138" s="24">
        <v>76828</v>
      </c>
      <c r="F138" s="26">
        <f t="shared" si="46"/>
        <v>140</v>
      </c>
      <c r="G138" s="31">
        <f t="shared" si="41"/>
        <v>14.714</v>
      </c>
      <c r="H138" s="31">
        <f t="shared" si="42"/>
        <v>16.162666666666667</v>
      </c>
      <c r="I138" s="27"/>
      <c r="J138" s="32">
        <f t="shared" si="28"/>
        <v>76.297466666666665</v>
      </c>
      <c r="K138" s="33">
        <f t="shared" si="45"/>
        <v>29</v>
      </c>
      <c r="L138" s="32">
        <f t="shared" si="29"/>
        <v>2.6309471264367814</v>
      </c>
      <c r="M138" s="45"/>
    </row>
    <row r="139" spans="1:14" s="29" customFormat="1" ht="18" customHeight="1">
      <c r="A139" s="23">
        <v>42550</v>
      </c>
      <c r="B139" s="24">
        <v>86725</v>
      </c>
      <c r="C139" s="25">
        <f t="shared" si="43"/>
        <v>247</v>
      </c>
      <c r="D139" s="30">
        <f t="shared" si="40"/>
        <v>37.148800000000001</v>
      </c>
      <c r="E139" s="24">
        <v>76984</v>
      </c>
      <c r="F139" s="26">
        <f t="shared" si="46"/>
        <v>156</v>
      </c>
      <c r="G139" s="31">
        <f t="shared" si="41"/>
        <v>16.395599999999998</v>
      </c>
      <c r="H139" s="31">
        <f t="shared" si="42"/>
        <v>15.048</v>
      </c>
      <c r="I139" s="27"/>
      <c r="J139" s="32">
        <f t="shared" si="28"/>
        <v>68.592399999999998</v>
      </c>
      <c r="K139" s="33">
        <f t="shared" si="45"/>
        <v>27</v>
      </c>
      <c r="L139" s="32">
        <f t="shared" si="29"/>
        <v>2.5404592592592592</v>
      </c>
      <c r="M139" s="81" t="s">
        <v>41</v>
      </c>
      <c r="N139" s="54"/>
    </row>
    <row r="140" spans="1:14" s="29" customFormat="1" ht="18" customHeight="1">
      <c r="A140" s="23">
        <v>42554</v>
      </c>
      <c r="B140" s="24">
        <v>86771</v>
      </c>
      <c r="C140" s="25">
        <f t="shared" si="43"/>
        <v>46</v>
      </c>
      <c r="D140" s="30">
        <f t="shared" si="40"/>
        <v>6.9184000000000001</v>
      </c>
      <c r="E140" s="24">
        <v>77008</v>
      </c>
      <c r="F140" s="26">
        <f t="shared" si="46"/>
        <v>24</v>
      </c>
      <c r="G140" s="31">
        <f t="shared" si="41"/>
        <v>2.5224000000000002</v>
      </c>
      <c r="H140" s="31">
        <f t="shared" si="42"/>
        <v>2.2293333333333334</v>
      </c>
      <c r="I140" s="27"/>
      <c r="J140" s="32">
        <f t="shared" si="28"/>
        <v>11.670133333333332</v>
      </c>
      <c r="K140" s="33">
        <f t="shared" si="45"/>
        <v>4</v>
      </c>
      <c r="L140" s="32">
        <f t="shared" si="29"/>
        <v>2.9175333333333331</v>
      </c>
      <c r="M140" s="45"/>
    </row>
    <row r="141" spans="1:14" s="29" customFormat="1" ht="18" customHeight="1">
      <c r="A141" s="23">
        <v>42585</v>
      </c>
      <c r="B141" s="24">
        <v>87191</v>
      </c>
      <c r="C141" s="25">
        <f t="shared" si="43"/>
        <v>420</v>
      </c>
      <c r="D141" s="30">
        <f t="shared" si="40"/>
        <v>63.167999999999999</v>
      </c>
      <c r="E141" s="24">
        <v>77222</v>
      </c>
      <c r="F141" s="26">
        <f t="shared" si="46"/>
        <v>214</v>
      </c>
      <c r="G141" s="31">
        <f t="shared" si="41"/>
        <v>22.491399999999999</v>
      </c>
      <c r="H141" s="31">
        <f t="shared" si="42"/>
        <v>16.72</v>
      </c>
      <c r="I141" s="27"/>
      <c r="J141" s="32">
        <f t="shared" si="28"/>
        <v>102.3794</v>
      </c>
      <c r="K141" s="33">
        <f t="shared" si="45"/>
        <v>30</v>
      </c>
      <c r="L141" s="32">
        <f t="shared" si="29"/>
        <v>3.4126466666666668</v>
      </c>
      <c r="M141" s="45"/>
    </row>
    <row r="142" spans="1:14" s="29" customFormat="1" ht="18" customHeight="1">
      <c r="A142" s="23">
        <v>42616</v>
      </c>
      <c r="B142" s="24">
        <v>87574</v>
      </c>
      <c r="C142" s="25">
        <f t="shared" si="43"/>
        <v>383</v>
      </c>
      <c r="D142" s="30">
        <f t="shared" si="40"/>
        <v>57.603200000000001</v>
      </c>
      <c r="E142" s="24">
        <v>77441</v>
      </c>
      <c r="F142" s="26">
        <f t="shared" si="46"/>
        <v>219</v>
      </c>
      <c r="G142" s="31">
        <f t="shared" si="41"/>
        <v>23.0169</v>
      </c>
      <c r="H142" s="31">
        <f t="shared" si="42"/>
        <v>16.72</v>
      </c>
      <c r="I142" s="27"/>
      <c r="J142" s="32">
        <f t="shared" si="28"/>
        <v>97.340100000000007</v>
      </c>
      <c r="K142" s="33">
        <f t="shared" si="45"/>
        <v>30</v>
      </c>
      <c r="L142" s="32">
        <f t="shared" si="29"/>
        <v>3.2446700000000002</v>
      </c>
      <c r="M142" s="45"/>
    </row>
    <row r="143" spans="1:14" s="29" customFormat="1" ht="18" customHeight="1">
      <c r="A143" s="23">
        <v>42646</v>
      </c>
      <c r="B143" s="24">
        <v>87918</v>
      </c>
      <c r="C143" s="25">
        <f t="shared" si="43"/>
        <v>344</v>
      </c>
      <c r="D143" s="30">
        <f t="shared" si="40"/>
        <v>51.7376</v>
      </c>
      <c r="E143" s="24">
        <v>77644</v>
      </c>
      <c r="F143" s="26">
        <f t="shared" si="46"/>
        <v>203</v>
      </c>
      <c r="G143" s="31">
        <f t="shared" si="41"/>
        <v>21.3353</v>
      </c>
      <c r="H143" s="31">
        <f t="shared" si="42"/>
        <v>16.72</v>
      </c>
      <c r="I143" s="27"/>
      <c r="J143" s="32">
        <f t="shared" si="28"/>
        <v>89.792900000000003</v>
      </c>
      <c r="K143" s="33">
        <f t="shared" si="45"/>
        <v>30</v>
      </c>
      <c r="L143" s="32">
        <f t="shared" si="29"/>
        <v>2.9930966666666667</v>
      </c>
      <c r="M143" s="45"/>
    </row>
    <row r="144" spans="1:14" s="29" customFormat="1" ht="18" customHeight="1">
      <c r="A144" s="23">
        <v>42664</v>
      </c>
      <c r="B144" s="24">
        <v>88116</v>
      </c>
      <c r="C144" s="25">
        <f t="shared" si="43"/>
        <v>198</v>
      </c>
      <c r="D144" s="30">
        <f t="shared" si="40"/>
        <v>29.779199999999999</v>
      </c>
      <c r="E144" s="24">
        <v>77749</v>
      </c>
      <c r="F144" s="26">
        <f t="shared" si="46"/>
        <v>105</v>
      </c>
      <c r="G144" s="31">
        <f t="shared" si="41"/>
        <v>11.035500000000001</v>
      </c>
      <c r="H144" s="31">
        <f t="shared" si="42"/>
        <v>10.032</v>
      </c>
      <c r="I144" s="27"/>
      <c r="J144" s="32">
        <f t="shared" si="28"/>
        <v>50.846699999999998</v>
      </c>
      <c r="K144" s="33">
        <f t="shared" si="45"/>
        <v>18</v>
      </c>
      <c r="L144" s="32">
        <f t="shared" si="29"/>
        <v>2.8248166666666665</v>
      </c>
      <c r="M144" s="45" t="s">
        <v>42</v>
      </c>
    </row>
    <row r="145" spans="1:17" s="29" customFormat="1" ht="18" customHeight="1">
      <c r="A145" s="69">
        <v>42675</v>
      </c>
      <c r="B145" s="70" t="s">
        <v>2</v>
      </c>
      <c r="C145" s="70"/>
      <c r="D145" s="71">
        <v>0.13</v>
      </c>
      <c r="E145" s="72" t="s">
        <v>3</v>
      </c>
      <c r="F145" s="72"/>
      <c r="G145" s="71">
        <v>9.7000000000000003E-2</v>
      </c>
      <c r="H145" s="71"/>
      <c r="I145" s="71" t="s">
        <v>28</v>
      </c>
      <c r="J145" s="71">
        <v>183.24</v>
      </c>
      <c r="K145" s="73" t="s">
        <v>43</v>
      </c>
      <c r="L145" s="74"/>
      <c r="M145" s="74"/>
      <c r="N145" s="74"/>
    </row>
    <row r="146" spans="1:17" s="29" customFormat="1" ht="18" customHeight="1">
      <c r="A146" s="82">
        <v>42676</v>
      </c>
      <c r="B146" s="24">
        <v>88125</v>
      </c>
      <c r="C146" s="25"/>
      <c r="D146" s="30">
        <f>IF(B146&gt;0,$D$145*C146," ")</f>
        <v>0</v>
      </c>
      <c r="E146" s="24">
        <v>77753</v>
      </c>
      <c r="F146" s="26"/>
      <c r="G146" s="31">
        <f>IF(E146&gt;0,$G$145*F146," ")</f>
        <v>0</v>
      </c>
      <c r="H146" s="31"/>
      <c r="I146" s="27"/>
      <c r="J146" s="32">
        <f t="shared" ref="J146:J175" si="47">IF(B146&gt;0,D146+G146+H146," ")</f>
        <v>0</v>
      </c>
      <c r="K146" s="33">
        <f t="shared" si="45"/>
        <v>1</v>
      </c>
      <c r="L146" s="32">
        <f t="shared" ref="L146:L175" si="48">IF(B146&gt;0,J146/K146," ")</f>
        <v>0</v>
      </c>
      <c r="M146" s="45"/>
    </row>
    <row r="147" spans="1:17" s="29" customFormat="1" ht="18" customHeight="1">
      <c r="A147" s="23">
        <v>42706</v>
      </c>
      <c r="B147" s="24">
        <v>89338</v>
      </c>
      <c r="C147" s="25">
        <f>IF(B147&gt;0,B147-B146," ")</f>
        <v>1213</v>
      </c>
      <c r="D147" s="30">
        <f t="shared" ref="D147:D155" si="49">IF(B147&gt;0,$D$145*C147," ")</f>
        <v>157.69</v>
      </c>
      <c r="E147" s="24">
        <v>78485</v>
      </c>
      <c r="F147" s="26">
        <f>IF(E147&gt;0,E147-E146," ")</f>
        <v>732</v>
      </c>
      <c r="G147" s="31">
        <f t="shared" ref="G147:G155" si="50">IF(E147&gt;0,$G$145*F147," ")</f>
        <v>71.004000000000005</v>
      </c>
      <c r="H147" s="31">
        <f>IF(B147&gt;1,($J$145/360)*K147," ")</f>
        <v>15.27</v>
      </c>
      <c r="I147" s="27" t="s">
        <v>44</v>
      </c>
      <c r="J147" s="32">
        <f t="shared" si="47"/>
        <v>243.96400000000003</v>
      </c>
      <c r="K147" s="33">
        <f t="shared" si="45"/>
        <v>30</v>
      </c>
      <c r="L147" s="32">
        <f t="shared" si="48"/>
        <v>8.1321333333333339</v>
      </c>
      <c r="M147" s="45"/>
      <c r="P147" s="29" t="s">
        <v>8</v>
      </c>
    </row>
    <row r="148" spans="1:17" s="29" customFormat="1" ht="18" customHeight="1">
      <c r="A148" s="23">
        <v>42732</v>
      </c>
      <c r="B148" s="24">
        <v>90725</v>
      </c>
      <c r="C148" s="25">
        <f t="shared" ref="C148:C155" si="51">IF(B148&gt;0,B148-B147," ")</f>
        <v>1387</v>
      </c>
      <c r="D148" s="30">
        <f t="shared" si="49"/>
        <v>180.31</v>
      </c>
      <c r="E148" s="24">
        <v>79194</v>
      </c>
      <c r="F148" s="26">
        <f t="shared" ref="F148:F155" si="52">IF(E148&gt;0,E148-E147," ")</f>
        <v>709</v>
      </c>
      <c r="G148" s="31">
        <f t="shared" si="50"/>
        <v>68.772999999999996</v>
      </c>
      <c r="H148" s="31">
        <f t="shared" ref="H148:H149" si="53">IF(B148&gt;1,($J$124/360)*K148," ")</f>
        <v>14.490666666666668</v>
      </c>
      <c r="I148" s="27"/>
      <c r="J148" s="32">
        <f t="shared" si="47"/>
        <v>263.57366666666667</v>
      </c>
      <c r="K148" s="33">
        <f t="shared" si="45"/>
        <v>26</v>
      </c>
      <c r="L148" s="32">
        <f t="shared" si="48"/>
        <v>10.137448717948718</v>
      </c>
      <c r="M148" s="45"/>
      <c r="N148" s="29" t="s">
        <v>45</v>
      </c>
      <c r="O148" s="83">
        <f>C156</f>
        <v>6637</v>
      </c>
      <c r="P148" s="45">
        <f>D156</f>
        <v>862.81000000000006</v>
      </c>
    </row>
    <row r="149" spans="1:17" s="29" customFormat="1" ht="18" customHeight="1">
      <c r="A149" s="23">
        <v>42738</v>
      </c>
      <c r="B149" s="24">
        <v>90853</v>
      </c>
      <c r="C149" s="25">
        <f t="shared" si="51"/>
        <v>128</v>
      </c>
      <c r="D149" s="30">
        <f t="shared" si="49"/>
        <v>16.64</v>
      </c>
      <c r="E149" s="24">
        <v>79255</v>
      </c>
      <c r="F149" s="26">
        <f t="shared" si="52"/>
        <v>61</v>
      </c>
      <c r="G149" s="31">
        <f t="shared" si="50"/>
        <v>5.9169999999999998</v>
      </c>
      <c r="H149" s="31">
        <f t="shared" si="53"/>
        <v>2.7866666666666666</v>
      </c>
      <c r="I149" s="27"/>
      <c r="J149" s="32">
        <f t="shared" si="47"/>
        <v>25.343666666666667</v>
      </c>
      <c r="K149" s="33">
        <f t="shared" si="45"/>
        <v>5</v>
      </c>
      <c r="L149" s="32">
        <f t="shared" si="48"/>
        <v>5.0687333333333333</v>
      </c>
      <c r="M149" s="45"/>
      <c r="N149" s="29" t="s">
        <v>46</v>
      </c>
      <c r="O149" s="83">
        <f>F156</f>
        <v>3789</v>
      </c>
      <c r="P149" s="45">
        <f>G156</f>
        <v>367.53299999999996</v>
      </c>
    </row>
    <row r="150" spans="1:17" s="29" customFormat="1" ht="18" customHeight="1">
      <c r="A150" s="23">
        <v>42767</v>
      </c>
      <c r="B150" s="24">
        <v>91821</v>
      </c>
      <c r="C150" s="25">
        <f t="shared" si="51"/>
        <v>968</v>
      </c>
      <c r="D150" s="30">
        <f t="shared" si="49"/>
        <v>125.84</v>
      </c>
      <c r="E150" s="24">
        <v>79729</v>
      </c>
      <c r="F150" s="26">
        <f t="shared" si="52"/>
        <v>474</v>
      </c>
      <c r="G150" s="31">
        <f t="shared" si="50"/>
        <v>45.978000000000002</v>
      </c>
      <c r="H150" s="31">
        <f>IF(B150&gt;1,($J$145/360)*K150," ")</f>
        <v>14.252000000000001</v>
      </c>
      <c r="I150" s="27"/>
      <c r="J150" s="32">
        <f t="shared" si="47"/>
        <v>186.07000000000002</v>
      </c>
      <c r="K150" s="33">
        <f t="shared" si="45"/>
        <v>28</v>
      </c>
      <c r="L150" s="32">
        <f t="shared" si="48"/>
        <v>6.6453571428571436</v>
      </c>
      <c r="M150" s="45"/>
      <c r="N150" s="29" t="s">
        <v>47</v>
      </c>
      <c r="O150" s="83">
        <f>SUM(O148:O149)</f>
        <v>10426</v>
      </c>
      <c r="P150" s="45">
        <f>SUM(P148:P149)</f>
        <v>1230.3430000000001</v>
      </c>
    </row>
    <row r="151" spans="1:17" s="29" customFormat="1" ht="18" customHeight="1">
      <c r="A151" s="23">
        <v>42795</v>
      </c>
      <c r="B151" s="24">
        <v>92691</v>
      </c>
      <c r="C151" s="25">
        <f t="shared" si="51"/>
        <v>870</v>
      </c>
      <c r="D151" s="30">
        <f t="shared" si="49"/>
        <v>113.10000000000001</v>
      </c>
      <c r="E151" s="24">
        <v>80258</v>
      </c>
      <c r="F151" s="26">
        <f t="shared" si="52"/>
        <v>529</v>
      </c>
      <c r="G151" s="31">
        <f t="shared" si="50"/>
        <v>51.313000000000002</v>
      </c>
      <c r="H151" s="31">
        <f>IF(B151&gt;1,($J$145/360)*K151," ")</f>
        <v>15.27</v>
      </c>
      <c r="I151" s="27"/>
      <c r="J151" s="32">
        <f t="shared" si="47"/>
        <v>179.68300000000002</v>
      </c>
      <c r="K151" s="33">
        <f t="shared" si="45"/>
        <v>30</v>
      </c>
      <c r="L151" s="32">
        <f t="shared" si="48"/>
        <v>5.9894333333333343</v>
      </c>
      <c r="M151" s="45"/>
      <c r="N151" s="29" t="s">
        <v>48</v>
      </c>
      <c r="P151" s="45">
        <f>H156</f>
        <v>122.64033333333332</v>
      </c>
    </row>
    <row r="152" spans="1:17" s="29" customFormat="1" ht="18" customHeight="1">
      <c r="A152" s="23">
        <v>42826</v>
      </c>
      <c r="B152" s="24">
        <v>93409</v>
      </c>
      <c r="C152" s="25">
        <f t="shared" si="51"/>
        <v>718</v>
      </c>
      <c r="D152" s="30">
        <f t="shared" si="49"/>
        <v>93.34</v>
      </c>
      <c r="E152" s="24">
        <v>80739</v>
      </c>
      <c r="F152" s="26">
        <f t="shared" si="52"/>
        <v>481</v>
      </c>
      <c r="G152" s="31">
        <f t="shared" si="50"/>
        <v>46.657000000000004</v>
      </c>
      <c r="H152" s="31">
        <f t="shared" ref="H152:H175" si="54">IF(B152&gt;1,($J$145/360)*K152," ")</f>
        <v>15.27</v>
      </c>
      <c r="I152" s="27"/>
      <c r="J152" s="32">
        <f t="shared" si="47"/>
        <v>155.26700000000002</v>
      </c>
      <c r="K152" s="33">
        <f t="shared" si="45"/>
        <v>30</v>
      </c>
      <c r="L152" s="32">
        <f t="shared" si="48"/>
        <v>5.1755666666666675</v>
      </c>
      <c r="M152" s="45"/>
      <c r="P152" s="45">
        <f>SUM(P150:P151)</f>
        <v>1352.9833333333333</v>
      </c>
    </row>
    <row r="153" spans="1:17" s="29" customFormat="1" ht="18" customHeight="1">
      <c r="A153" s="23">
        <v>42856</v>
      </c>
      <c r="B153" s="24">
        <v>93783</v>
      </c>
      <c r="C153" s="25">
        <f t="shared" si="51"/>
        <v>374</v>
      </c>
      <c r="D153" s="30">
        <f t="shared" si="49"/>
        <v>48.620000000000005</v>
      </c>
      <c r="E153" s="24">
        <v>80941</v>
      </c>
      <c r="F153" s="26">
        <f t="shared" si="52"/>
        <v>202</v>
      </c>
      <c r="G153" s="31">
        <f t="shared" si="50"/>
        <v>19.594000000000001</v>
      </c>
      <c r="H153" s="31">
        <f t="shared" si="54"/>
        <v>15.27</v>
      </c>
      <c r="I153" s="27"/>
      <c r="J153" s="32">
        <f t="shared" si="47"/>
        <v>83.483999999999995</v>
      </c>
      <c r="K153" s="33">
        <f t="shared" si="45"/>
        <v>30</v>
      </c>
      <c r="L153" s="32">
        <f t="shared" si="48"/>
        <v>2.7827999999999999</v>
      </c>
      <c r="M153" s="45"/>
    </row>
    <row r="154" spans="1:17" s="29" customFormat="1" ht="18" customHeight="1">
      <c r="A154" s="23">
        <v>42887</v>
      </c>
      <c r="B154" s="24">
        <v>94390</v>
      </c>
      <c r="C154" s="25">
        <f t="shared" si="51"/>
        <v>607</v>
      </c>
      <c r="D154" s="30">
        <f t="shared" si="49"/>
        <v>78.91</v>
      </c>
      <c r="E154" s="24">
        <v>81345</v>
      </c>
      <c r="F154" s="26">
        <f t="shared" si="52"/>
        <v>404</v>
      </c>
      <c r="G154" s="31">
        <f t="shared" si="50"/>
        <v>39.188000000000002</v>
      </c>
      <c r="H154" s="31">
        <f t="shared" si="54"/>
        <v>15.27</v>
      </c>
      <c r="I154" s="27"/>
      <c r="J154" s="32">
        <f t="shared" si="47"/>
        <v>133.36799999999999</v>
      </c>
      <c r="K154" s="33">
        <f t="shared" si="45"/>
        <v>30</v>
      </c>
      <c r="L154" s="32">
        <f t="shared" si="48"/>
        <v>4.4455999999999998</v>
      </c>
      <c r="M154" s="45"/>
    </row>
    <row r="155" spans="1:17" s="29" customFormat="1" ht="18" customHeight="1">
      <c r="A155" s="23">
        <v>42916</v>
      </c>
      <c r="B155" s="24">
        <v>94762</v>
      </c>
      <c r="C155" s="25">
        <f t="shared" si="51"/>
        <v>372</v>
      </c>
      <c r="D155" s="30">
        <f t="shared" si="49"/>
        <v>48.36</v>
      </c>
      <c r="E155" s="24">
        <v>81542</v>
      </c>
      <c r="F155" s="26">
        <f t="shared" si="52"/>
        <v>197</v>
      </c>
      <c r="G155" s="31">
        <f t="shared" si="50"/>
        <v>19.109000000000002</v>
      </c>
      <c r="H155" s="31">
        <f t="shared" si="54"/>
        <v>14.761000000000001</v>
      </c>
      <c r="I155" s="27"/>
      <c r="J155" s="32">
        <f t="shared" si="47"/>
        <v>82.22999999999999</v>
      </c>
      <c r="K155" s="33">
        <f t="shared" si="45"/>
        <v>29</v>
      </c>
      <c r="L155" s="32">
        <f t="shared" si="48"/>
        <v>2.8355172413793102</v>
      </c>
      <c r="M155" s="45"/>
      <c r="P155" s="84" t="s">
        <v>49</v>
      </c>
      <c r="Q155" s="84"/>
    </row>
    <row r="156" spans="1:17" s="29" customFormat="1" ht="18" customHeight="1">
      <c r="A156" s="23"/>
      <c r="B156" s="24"/>
      <c r="C156" s="85">
        <f>SUM(C146:C155)</f>
        <v>6637</v>
      </c>
      <c r="D156" s="30">
        <f>SUM(D146:D155)</f>
        <v>862.81000000000006</v>
      </c>
      <c r="E156" s="24"/>
      <c r="F156" s="86">
        <f>SUM(F146:F155)</f>
        <v>3789</v>
      </c>
      <c r="G156" s="31">
        <f>SUM(G146:G155)</f>
        <v>367.53299999999996</v>
      </c>
      <c r="H156" s="31">
        <f>SUM(H146:H155)</f>
        <v>122.64033333333332</v>
      </c>
      <c r="I156" s="27"/>
      <c r="J156" s="32">
        <f>SUM(J146:J155)</f>
        <v>1352.9833333333333</v>
      </c>
      <c r="K156" s="33" t="str">
        <f t="shared" si="45"/>
        <v xml:space="preserve"> </v>
      </c>
      <c r="L156" s="32" t="str">
        <f t="shared" si="48"/>
        <v xml:space="preserve"> </v>
      </c>
      <c r="M156" s="45">
        <f>D156+G156+H156</f>
        <v>1352.9833333333333</v>
      </c>
      <c r="N156" s="87" t="s">
        <v>50</v>
      </c>
      <c r="O156" s="87"/>
      <c r="P156" s="88">
        <v>1375.07</v>
      </c>
      <c r="Q156" s="88"/>
    </row>
    <row r="157" spans="1:17" s="29" customFormat="1" ht="18" customHeight="1">
      <c r="A157" s="23">
        <v>42948</v>
      </c>
      <c r="B157" s="24">
        <v>95209</v>
      </c>
      <c r="C157" s="25">
        <f>IF(B157&gt;0,B157-B155," ")</f>
        <v>447</v>
      </c>
      <c r="D157" s="30">
        <f>IF(B157&gt;0,$D$145*C157," ")</f>
        <v>58.11</v>
      </c>
      <c r="E157" s="24">
        <v>81789</v>
      </c>
      <c r="F157" s="26">
        <f>IF(E157&gt;0,E157-E155," ")</f>
        <v>247</v>
      </c>
      <c r="G157" s="31">
        <f t="shared" ref="G157" si="55">IF(E157&gt;0,$G$124*F157," ")</f>
        <v>25.959699999999998</v>
      </c>
      <c r="H157" s="31">
        <f t="shared" si="54"/>
        <v>15.779</v>
      </c>
      <c r="I157" s="27"/>
      <c r="J157" s="32">
        <f t="shared" si="47"/>
        <v>99.848699999999994</v>
      </c>
      <c r="K157" s="33">
        <f>IF(B157&gt;1,DAYS360(A155,A157)," ")</f>
        <v>31</v>
      </c>
      <c r="L157" s="32">
        <f t="shared" si="48"/>
        <v>3.2209258064516129</v>
      </c>
      <c r="M157" s="45"/>
      <c r="N157" s="89" t="s">
        <v>51</v>
      </c>
      <c r="O157" s="90"/>
      <c r="P157" s="91">
        <v>556.29999999999995</v>
      </c>
      <c r="Q157" s="91"/>
    </row>
    <row r="158" spans="1:17" s="29" customFormat="1" ht="18" customHeight="1">
      <c r="A158" s="23">
        <v>42982</v>
      </c>
      <c r="B158" s="24">
        <v>95629</v>
      </c>
      <c r="C158" s="25">
        <f>IF(B158&gt;0,B158-B157," ")</f>
        <v>420</v>
      </c>
      <c r="D158" s="30">
        <f>IF(B158&gt;0,$D$145*C158," ")</f>
        <v>54.6</v>
      </c>
      <c r="E158" s="24">
        <v>82033</v>
      </c>
      <c r="F158" s="26">
        <f>IF(E158&gt;0,E158-E157," ")</f>
        <v>244</v>
      </c>
      <c r="G158" s="31">
        <f>IF(E158&gt;0,$G$145*F158," ")</f>
        <v>23.667999999999999</v>
      </c>
      <c r="H158" s="31">
        <f t="shared" si="54"/>
        <v>16.797000000000001</v>
      </c>
      <c r="I158" s="27"/>
      <c r="J158" s="32">
        <f t="shared" si="47"/>
        <v>95.064999999999998</v>
      </c>
      <c r="K158" s="33">
        <f>IF(B158&gt;1,DAYS360(A157,A158)," ")</f>
        <v>33</v>
      </c>
      <c r="L158" s="32">
        <f t="shared" si="48"/>
        <v>2.8807575757575759</v>
      </c>
      <c r="M158" s="45"/>
      <c r="N158" s="90"/>
      <c r="O158" s="90"/>
    </row>
    <row r="159" spans="1:17">
      <c r="A159" s="23">
        <v>43009</v>
      </c>
      <c r="B159" s="24">
        <v>96267</v>
      </c>
      <c r="C159" s="25">
        <f t="shared" ref="C159:C186" si="56">IF(B159&gt;0,B159-B158," ")</f>
        <v>638</v>
      </c>
      <c r="D159" s="30">
        <f t="shared" ref="D159:D175" si="57">IF(B159&gt;0,$D$145*C159," ")</f>
        <v>82.94</v>
      </c>
      <c r="E159" s="24">
        <v>82395</v>
      </c>
      <c r="F159" s="26">
        <f t="shared" ref="F159:F175" si="58">IF(E159&gt;0,E159-E158," ")</f>
        <v>362</v>
      </c>
      <c r="G159" s="31">
        <f t="shared" ref="G159:G175" si="59">IF(E159&gt;0,$G$145*F159," ")</f>
        <v>35.114000000000004</v>
      </c>
      <c r="H159" s="31">
        <f t="shared" si="54"/>
        <v>13.743</v>
      </c>
      <c r="I159" s="27"/>
      <c r="J159" s="32">
        <f t="shared" si="47"/>
        <v>131.797</v>
      </c>
      <c r="K159" s="33">
        <f t="shared" ref="K159:K175" si="60">IF(B159&gt;1,DAYS360(A158,A159)," ")</f>
        <v>27</v>
      </c>
      <c r="L159" s="32">
        <f t="shared" si="48"/>
        <v>4.8813703703703704</v>
      </c>
    </row>
    <row r="160" spans="1:17">
      <c r="A160" s="23">
        <v>43029</v>
      </c>
      <c r="B160" s="24">
        <v>96665</v>
      </c>
      <c r="C160" s="25">
        <f t="shared" si="56"/>
        <v>398</v>
      </c>
      <c r="D160" s="30">
        <f t="shared" si="57"/>
        <v>51.74</v>
      </c>
      <c r="E160" s="24">
        <v>82647</v>
      </c>
      <c r="F160" s="26">
        <f t="shared" si="58"/>
        <v>252</v>
      </c>
      <c r="G160" s="31">
        <f t="shared" si="59"/>
        <v>24.443999999999999</v>
      </c>
      <c r="H160" s="31">
        <f t="shared" si="54"/>
        <v>10.18</v>
      </c>
      <c r="I160" s="27"/>
      <c r="J160" s="32">
        <f t="shared" si="47"/>
        <v>86.364000000000004</v>
      </c>
      <c r="K160" s="33">
        <f t="shared" si="60"/>
        <v>20</v>
      </c>
      <c r="L160" s="32">
        <f t="shared" si="48"/>
        <v>4.3182</v>
      </c>
      <c r="M160" s="92" t="s">
        <v>52</v>
      </c>
      <c r="N160" s="92"/>
      <c r="O160" s="92"/>
      <c r="P160" s="92"/>
      <c r="Q160" s="92"/>
    </row>
    <row r="161" spans="1:16">
      <c r="A161" s="23">
        <v>43040</v>
      </c>
      <c r="B161" s="24">
        <v>96973</v>
      </c>
      <c r="C161" s="25">
        <f>IF(B161&gt;0,B161-B159," ")</f>
        <v>706</v>
      </c>
      <c r="D161" s="30">
        <f t="shared" si="57"/>
        <v>91.78</v>
      </c>
      <c r="E161" s="24">
        <v>82834</v>
      </c>
      <c r="F161" s="26">
        <f>IF(E161&gt;0,E161-E159," ")</f>
        <v>439</v>
      </c>
      <c r="G161" s="31">
        <f t="shared" si="59"/>
        <v>42.582999999999998</v>
      </c>
      <c r="H161" s="31">
        <f t="shared" si="54"/>
        <v>15.27</v>
      </c>
      <c r="I161" s="27"/>
      <c r="J161" s="32">
        <f t="shared" si="47"/>
        <v>149.63300000000001</v>
      </c>
      <c r="K161" s="33">
        <f>IF(B161&gt;1,DAYS360(A159,A161)," ")</f>
        <v>30</v>
      </c>
      <c r="L161" s="32">
        <f t="shared" si="48"/>
        <v>4.9877666666666673</v>
      </c>
    </row>
    <row r="162" spans="1:16">
      <c r="A162" s="23">
        <v>43070</v>
      </c>
      <c r="B162" s="24">
        <v>98081</v>
      </c>
      <c r="C162" s="25">
        <f t="shared" si="56"/>
        <v>1108</v>
      </c>
      <c r="D162" s="30">
        <f t="shared" si="57"/>
        <v>144.04</v>
      </c>
      <c r="E162" s="24">
        <v>83453</v>
      </c>
      <c r="F162" s="26">
        <f t="shared" si="58"/>
        <v>619</v>
      </c>
      <c r="G162" s="31">
        <f t="shared" si="59"/>
        <v>60.042999999999999</v>
      </c>
      <c r="H162" s="31">
        <f t="shared" si="54"/>
        <v>15.27</v>
      </c>
      <c r="I162" s="27"/>
      <c r="J162" s="32">
        <f t="shared" si="47"/>
        <v>219.35300000000001</v>
      </c>
      <c r="K162" s="33">
        <f t="shared" si="60"/>
        <v>30</v>
      </c>
      <c r="L162" s="32">
        <f t="shared" si="48"/>
        <v>7.3117666666666672</v>
      </c>
    </row>
    <row r="163" spans="1:16">
      <c r="A163" s="23">
        <v>43101</v>
      </c>
      <c r="B163" s="24">
        <v>99354</v>
      </c>
      <c r="C163" s="25">
        <f t="shared" si="56"/>
        <v>1273</v>
      </c>
      <c r="D163" s="30">
        <f t="shared" si="57"/>
        <v>165.49</v>
      </c>
      <c r="E163" s="24">
        <v>84134</v>
      </c>
      <c r="F163" s="26">
        <f t="shared" si="58"/>
        <v>681</v>
      </c>
      <c r="G163" s="31">
        <f t="shared" si="59"/>
        <v>66.057000000000002</v>
      </c>
      <c r="H163" s="31">
        <f t="shared" si="54"/>
        <v>15.27</v>
      </c>
      <c r="I163" s="27"/>
      <c r="J163" s="32">
        <f t="shared" si="47"/>
        <v>246.81700000000004</v>
      </c>
      <c r="K163" s="33">
        <f t="shared" si="60"/>
        <v>30</v>
      </c>
      <c r="L163" s="32">
        <f t="shared" si="48"/>
        <v>8.2272333333333343</v>
      </c>
    </row>
    <row r="164" spans="1:16">
      <c r="A164" s="23">
        <v>43132</v>
      </c>
      <c r="B164" s="24">
        <v>100665</v>
      </c>
      <c r="C164" s="25">
        <f t="shared" si="56"/>
        <v>1311</v>
      </c>
      <c r="D164" s="30">
        <f t="shared" si="57"/>
        <v>170.43</v>
      </c>
      <c r="E164" s="24">
        <v>84859</v>
      </c>
      <c r="F164" s="26">
        <f t="shared" si="58"/>
        <v>725</v>
      </c>
      <c r="G164" s="31">
        <f t="shared" si="59"/>
        <v>70.325000000000003</v>
      </c>
      <c r="H164" s="31">
        <f t="shared" si="54"/>
        <v>15.27</v>
      </c>
      <c r="I164" s="27"/>
      <c r="J164" s="32">
        <f t="shared" si="47"/>
        <v>256.02499999999998</v>
      </c>
      <c r="K164" s="33">
        <f t="shared" si="60"/>
        <v>30</v>
      </c>
      <c r="L164" s="32">
        <f t="shared" si="48"/>
        <v>8.5341666666666658</v>
      </c>
    </row>
    <row r="165" spans="1:16">
      <c r="A165" s="23">
        <v>43160</v>
      </c>
      <c r="B165" s="24">
        <v>101945</v>
      </c>
      <c r="C165" s="25">
        <f t="shared" si="56"/>
        <v>1280</v>
      </c>
      <c r="D165" s="30">
        <f t="shared" si="57"/>
        <v>166.4</v>
      </c>
      <c r="E165" s="24">
        <v>85466</v>
      </c>
      <c r="F165" s="26">
        <f t="shared" si="58"/>
        <v>607</v>
      </c>
      <c r="G165" s="31">
        <f t="shared" si="59"/>
        <v>58.879000000000005</v>
      </c>
      <c r="H165" s="31">
        <f t="shared" si="54"/>
        <v>15.27</v>
      </c>
      <c r="I165" s="27"/>
      <c r="J165" s="32">
        <f t="shared" si="47"/>
        <v>240.54900000000001</v>
      </c>
      <c r="K165" s="33">
        <f t="shared" si="60"/>
        <v>30</v>
      </c>
      <c r="L165" s="32">
        <f t="shared" si="48"/>
        <v>8.0183</v>
      </c>
    </row>
    <row r="166" spans="1:16">
      <c r="A166" s="23">
        <v>43191</v>
      </c>
      <c r="B166" s="24">
        <v>103236</v>
      </c>
      <c r="C166" s="25">
        <f t="shared" si="56"/>
        <v>1291</v>
      </c>
      <c r="D166" s="30">
        <f t="shared" si="57"/>
        <v>167.83</v>
      </c>
      <c r="E166" s="24">
        <v>86273</v>
      </c>
      <c r="F166" s="26">
        <f t="shared" si="58"/>
        <v>807</v>
      </c>
      <c r="G166" s="31">
        <f t="shared" si="59"/>
        <v>78.278999999999996</v>
      </c>
      <c r="H166" s="31">
        <f t="shared" si="54"/>
        <v>15.27</v>
      </c>
      <c r="I166" s="27"/>
      <c r="J166" s="32">
        <f t="shared" si="47"/>
        <v>261.37900000000002</v>
      </c>
      <c r="K166" s="33">
        <f t="shared" si="60"/>
        <v>30</v>
      </c>
      <c r="L166" s="32">
        <f t="shared" si="48"/>
        <v>8.7126333333333346</v>
      </c>
    </row>
    <row r="167" spans="1:16">
      <c r="A167" s="23">
        <v>43221</v>
      </c>
      <c r="B167" s="24">
        <v>103907</v>
      </c>
      <c r="C167" s="25">
        <f t="shared" si="56"/>
        <v>671</v>
      </c>
      <c r="D167" s="30">
        <f t="shared" si="57"/>
        <v>87.23</v>
      </c>
      <c r="E167" s="24">
        <v>86705</v>
      </c>
      <c r="F167" s="26">
        <f t="shared" si="58"/>
        <v>432</v>
      </c>
      <c r="G167" s="31">
        <f t="shared" si="59"/>
        <v>41.904000000000003</v>
      </c>
      <c r="H167" s="31">
        <f t="shared" si="54"/>
        <v>15.27</v>
      </c>
      <c r="I167" s="27"/>
      <c r="J167" s="32">
        <f t="shared" si="47"/>
        <v>144.40400000000002</v>
      </c>
      <c r="K167" s="33">
        <f t="shared" si="60"/>
        <v>30</v>
      </c>
      <c r="L167" s="32">
        <f t="shared" si="48"/>
        <v>4.8134666666666677</v>
      </c>
    </row>
    <row r="168" spans="1:16">
      <c r="A168" s="23">
        <v>43252</v>
      </c>
      <c r="B168" s="24">
        <v>104310</v>
      </c>
      <c r="C168" s="25">
        <f t="shared" si="56"/>
        <v>403</v>
      </c>
      <c r="D168" s="30">
        <f t="shared" si="57"/>
        <v>52.39</v>
      </c>
      <c r="E168" s="24">
        <v>86987</v>
      </c>
      <c r="F168" s="26">
        <f t="shared" si="58"/>
        <v>282</v>
      </c>
      <c r="G168" s="31">
        <f t="shared" si="59"/>
        <v>27.353999999999999</v>
      </c>
      <c r="H168" s="31">
        <f t="shared" si="54"/>
        <v>15.27</v>
      </c>
      <c r="I168" s="27"/>
      <c r="J168" s="32">
        <f t="shared" si="47"/>
        <v>95.013999999999996</v>
      </c>
      <c r="K168" s="33">
        <f t="shared" si="60"/>
        <v>30</v>
      </c>
      <c r="L168" s="32">
        <f t="shared" si="48"/>
        <v>3.1671333333333331</v>
      </c>
    </row>
    <row r="169" spans="1:16">
      <c r="A169" s="23">
        <v>43282</v>
      </c>
      <c r="B169" s="24">
        <v>104553</v>
      </c>
      <c r="C169" s="25">
        <f t="shared" si="56"/>
        <v>243</v>
      </c>
      <c r="D169" s="30">
        <f t="shared" si="57"/>
        <v>31.59</v>
      </c>
      <c r="E169" s="24">
        <v>87122</v>
      </c>
      <c r="F169" s="26">
        <f t="shared" si="58"/>
        <v>135</v>
      </c>
      <c r="G169" s="31">
        <f t="shared" si="59"/>
        <v>13.095000000000001</v>
      </c>
      <c r="H169" s="31">
        <f t="shared" si="54"/>
        <v>15.27</v>
      </c>
      <c r="I169" s="27"/>
      <c r="J169" s="32">
        <f t="shared" si="47"/>
        <v>59.954999999999998</v>
      </c>
      <c r="K169" s="33">
        <f t="shared" si="60"/>
        <v>30</v>
      </c>
      <c r="L169" s="32">
        <f t="shared" si="48"/>
        <v>1.9984999999999999</v>
      </c>
    </row>
    <row r="170" spans="1:16">
      <c r="A170" s="23">
        <v>43313</v>
      </c>
      <c r="B170" s="24">
        <v>104947</v>
      </c>
      <c r="C170" s="25">
        <f t="shared" si="56"/>
        <v>394</v>
      </c>
      <c r="D170" s="30">
        <f t="shared" si="57"/>
        <v>51.22</v>
      </c>
      <c r="E170" s="24">
        <v>87348</v>
      </c>
      <c r="F170" s="26">
        <f t="shared" si="58"/>
        <v>226</v>
      </c>
      <c r="G170" s="31">
        <f t="shared" si="59"/>
        <v>21.922000000000001</v>
      </c>
      <c r="H170" s="31">
        <f t="shared" si="54"/>
        <v>15.27</v>
      </c>
      <c r="I170" s="27"/>
      <c r="J170" s="32">
        <f t="shared" si="47"/>
        <v>88.411999999999992</v>
      </c>
      <c r="K170" s="33">
        <f t="shared" si="60"/>
        <v>30</v>
      </c>
      <c r="L170" s="32">
        <f t="shared" si="48"/>
        <v>2.9470666666666663</v>
      </c>
      <c r="P170" s="93">
        <f>SUM(J163:J177)</f>
        <v>2411.9341333333332</v>
      </c>
    </row>
    <row r="171" spans="1:16">
      <c r="A171" s="23">
        <v>43344</v>
      </c>
      <c r="B171" s="24">
        <v>105638</v>
      </c>
      <c r="C171" s="25">
        <f t="shared" si="56"/>
        <v>691</v>
      </c>
      <c r="D171" s="30">
        <f t="shared" si="57"/>
        <v>89.83</v>
      </c>
      <c r="E171" s="24">
        <v>87684</v>
      </c>
      <c r="F171" s="26">
        <f t="shared" si="58"/>
        <v>336</v>
      </c>
      <c r="G171" s="31">
        <f t="shared" si="59"/>
        <v>32.591999999999999</v>
      </c>
      <c r="H171" s="31">
        <f t="shared" si="54"/>
        <v>15.27</v>
      </c>
      <c r="I171" s="27"/>
      <c r="J171" s="32">
        <f t="shared" si="47"/>
        <v>137.69200000000001</v>
      </c>
      <c r="K171" s="33">
        <f t="shared" si="60"/>
        <v>30</v>
      </c>
      <c r="L171" s="32">
        <f t="shared" si="48"/>
        <v>4.5897333333333332</v>
      </c>
    </row>
    <row r="172" spans="1:16">
      <c r="A172" s="23">
        <v>43378</v>
      </c>
      <c r="B172" s="24">
        <v>105904</v>
      </c>
      <c r="C172" s="25">
        <f t="shared" si="56"/>
        <v>266</v>
      </c>
      <c r="D172" s="30">
        <f t="shared" si="57"/>
        <v>34.58</v>
      </c>
      <c r="E172" s="24">
        <v>87846</v>
      </c>
      <c r="F172" s="26">
        <f t="shared" si="58"/>
        <v>162</v>
      </c>
      <c r="G172" s="31">
        <f t="shared" si="59"/>
        <v>15.714</v>
      </c>
      <c r="H172" s="31">
        <f t="shared" si="54"/>
        <v>17.306000000000001</v>
      </c>
      <c r="I172" s="27"/>
      <c r="J172" s="32">
        <f t="shared" si="47"/>
        <v>67.599999999999994</v>
      </c>
      <c r="K172" s="33">
        <f t="shared" si="60"/>
        <v>34</v>
      </c>
      <c r="L172" s="32">
        <f t="shared" si="48"/>
        <v>1.9882352941176469</v>
      </c>
    </row>
    <row r="173" spans="1:16">
      <c r="A173" s="23">
        <v>43405</v>
      </c>
      <c r="B173" s="24">
        <v>106552</v>
      </c>
      <c r="C173" s="25">
        <f t="shared" si="56"/>
        <v>648</v>
      </c>
      <c r="D173" s="30">
        <f t="shared" si="57"/>
        <v>84.240000000000009</v>
      </c>
      <c r="E173" s="24">
        <v>88218</v>
      </c>
      <c r="F173" s="26">
        <f t="shared" si="58"/>
        <v>372</v>
      </c>
      <c r="G173" s="31">
        <f t="shared" si="59"/>
        <v>36.084000000000003</v>
      </c>
      <c r="H173" s="31">
        <f t="shared" si="54"/>
        <v>13.234</v>
      </c>
      <c r="I173" s="27"/>
      <c r="J173" s="32">
        <f t="shared" si="47"/>
        <v>133.55800000000002</v>
      </c>
      <c r="K173" s="33">
        <f t="shared" si="60"/>
        <v>26</v>
      </c>
      <c r="L173" s="32">
        <f t="shared" si="48"/>
        <v>5.1368461538461547</v>
      </c>
    </row>
    <row r="174" spans="1:16">
      <c r="A174" s="23">
        <v>43435</v>
      </c>
      <c r="B174" s="24">
        <v>107647</v>
      </c>
      <c r="C174" s="25">
        <f t="shared" si="56"/>
        <v>1095</v>
      </c>
      <c r="D174" s="30">
        <f t="shared" si="57"/>
        <v>142.35</v>
      </c>
      <c r="E174" s="24">
        <v>88849</v>
      </c>
      <c r="F174" s="26">
        <f t="shared" si="58"/>
        <v>631</v>
      </c>
      <c r="G174" s="31">
        <f t="shared" si="59"/>
        <v>61.207000000000001</v>
      </c>
      <c r="H174" s="31">
        <f t="shared" si="54"/>
        <v>15.27</v>
      </c>
      <c r="I174" s="27"/>
      <c r="J174" s="32">
        <f t="shared" si="47"/>
        <v>218.827</v>
      </c>
      <c r="K174" s="33">
        <f t="shared" si="60"/>
        <v>30</v>
      </c>
      <c r="L174" s="32">
        <f t="shared" si="48"/>
        <v>7.2942333333333336</v>
      </c>
    </row>
    <row r="175" spans="1:16">
      <c r="A175" s="23">
        <v>43460</v>
      </c>
      <c r="B175" s="24">
        <v>108591</v>
      </c>
      <c r="C175" s="25">
        <f t="shared" si="56"/>
        <v>944</v>
      </c>
      <c r="D175" s="30">
        <f t="shared" si="57"/>
        <v>122.72</v>
      </c>
      <c r="E175" s="24">
        <v>89374</v>
      </c>
      <c r="F175" s="26">
        <f t="shared" si="58"/>
        <v>525</v>
      </c>
      <c r="G175" s="31">
        <f t="shared" si="59"/>
        <v>50.925000000000004</v>
      </c>
      <c r="H175" s="31">
        <f t="shared" si="54"/>
        <v>12.725</v>
      </c>
      <c r="I175" s="27"/>
      <c r="J175" s="32">
        <f t="shared" si="47"/>
        <v>186.37</v>
      </c>
      <c r="K175" s="33">
        <f t="shared" si="60"/>
        <v>25</v>
      </c>
      <c r="L175" s="32">
        <f t="shared" si="48"/>
        <v>7.4548000000000005</v>
      </c>
      <c r="M175" t="s">
        <v>53</v>
      </c>
    </row>
    <row r="176" spans="1:16">
      <c r="A176" s="69">
        <v>42675</v>
      </c>
      <c r="B176" s="70" t="s">
        <v>2</v>
      </c>
      <c r="C176" s="70"/>
      <c r="D176" s="71">
        <v>0.1507</v>
      </c>
      <c r="E176" s="72" t="s">
        <v>3</v>
      </c>
      <c r="F176" s="72"/>
      <c r="G176" s="71">
        <v>0.1178</v>
      </c>
      <c r="H176" s="71"/>
      <c r="I176" s="71" t="s">
        <v>28</v>
      </c>
      <c r="J176" s="71">
        <v>177.24</v>
      </c>
      <c r="K176" s="94" t="s">
        <v>54</v>
      </c>
      <c r="L176" s="95"/>
      <c r="M176" s="95"/>
      <c r="N176" s="95"/>
    </row>
    <row r="177" spans="1:16">
      <c r="A177" s="23">
        <v>43468</v>
      </c>
      <c r="B177" s="24">
        <v>109033</v>
      </c>
      <c r="C177" s="25">
        <f>IF(B177&gt;0,B177-B175," ")</f>
        <v>442</v>
      </c>
      <c r="D177" s="30">
        <f>IF(B177&gt;0,$D$176*C177," ")</f>
        <v>66.609399999999994</v>
      </c>
      <c r="E177" s="24">
        <v>89612</v>
      </c>
      <c r="F177" s="26">
        <f>IF(E177&gt;0,E177-E175," ")</f>
        <v>238</v>
      </c>
      <c r="G177" s="31">
        <f>IF(E177&gt;0,$G$176*F177," ")</f>
        <v>28.0364</v>
      </c>
      <c r="H177" s="31">
        <f>IF(B177&gt;1,($J$176/360)*K177," ")</f>
        <v>3.4463333333333335</v>
      </c>
      <c r="I177" s="27"/>
      <c r="J177" s="32">
        <f t="shared" ref="J177:J222" si="61">IF(B177&gt;0,D177+G177+H177," ")</f>
        <v>98.092133333333322</v>
      </c>
      <c r="K177" s="33">
        <f>IF(B177&gt;1,DAYS360(A175,A177)," ")</f>
        <v>7</v>
      </c>
      <c r="L177" s="32">
        <f t="shared" ref="L177:L222" si="62">IF(B177&gt;0,J177/K177," ")</f>
        <v>14.013161904761903</v>
      </c>
    </row>
    <row r="178" spans="1:16">
      <c r="A178" s="23">
        <v>43497</v>
      </c>
      <c r="B178" s="24">
        <v>110530</v>
      </c>
      <c r="C178" s="25">
        <f t="shared" si="56"/>
        <v>1497</v>
      </c>
      <c r="D178" s="30">
        <f t="shared" ref="D178:D185" si="63">IF(B178&gt;0,$D$176*C178," ")</f>
        <v>225.59790000000001</v>
      </c>
      <c r="E178" s="24">
        <v>90391</v>
      </c>
      <c r="F178" s="26">
        <f t="shared" ref="F178:F186" si="64">IF(E178&gt;0,E178-E177," ")</f>
        <v>779</v>
      </c>
      <c r="G178" s="31">
        <f t="shared" ref="G178:G185" si="65">IF(E178&gt;0,$G$176*F178," ")</f>
        <v>91.766199999999998</v>
      </c>
      <c r="H178" s="31">
        <f t="shared" ref="H178:H186" si="66">IF(B178&gt;1,($J$176/360)*K178," ")</f>
        <v>13.785333333333334</v>
      </c>
      <c r="I178" s="27"/>
      <c r="J178" s="32">
        <f t="shared" si="61"/>
        <v>331.14943333333332</v>
      </c>
      <c r="K178" s="33">
        <f t="shared" ref="K178:K186" si="67">IF(B178&gt;1,DAYS360(A177,A178)," ")</f>
        <v>28</v>
      </c>
      <c r="L178" s="32">
        <f t="shared" si="62"/>
        <v>11.826765476190475</v>
      </c>
    </row>
    <row r="179" spans="1:16">
      <c r="A179" s="23">
        <v>43525</v>
      </c>
      <c r="B179" s="24">
        <v>111153</v>
      </c>
      <c r="C179" s="25">
        <f t="shared" si="56"/>
        <v>623</v>
      </c>
      <c r="D179" s="30">
        <f t="shared" si="63"/>
        <v>93.886099999999999</v>
      </c>
      <c r="E179" s="24">
        <v>90689</v>
      </c>
      <c r="F179" s="26">
        <f t="shared" si="64"/>
        <v>298</v>
      </c>
      <c r="G179" s="31">
        <f t="shared" si="65"/>
        <v>35.104399999999998</v>
      </c>
      <c r="H179" s="31">
        <f t="shared" si="66"/>
        <v>14.77</v>
      </c>
      <c r="I179" s="27"/>
      <c r="J179" s="32">
        <f t="shared" si="61"/>
        <v>143.76050000000001</v>
      </c>
      <c r="K179" s="33">
        <f t="shared" si="67"/>
        <v>30</v>
      </c>
      <c r="L179" s="32">
        <f t="shared" si="62"/>
        <v>4.792016666666667</v>
      </c>
    </row>
    <row r="180" spans="1:16">
      <c r="A180" s="23">
        <v>43556</v>
      </c>
      <c r="B180" s="24">
        <v>111472</v>
      </c>
      <c r="C180" s="25">
        <f t="shared" si="56"/>
        <v>319</v>
      </c>
      <c r="D180" s="30">
        <f t="shared" si="63"/>
        <v>48.073300000000003</v>
      </c>
      <c r="E180" s="24">
        <v>90826</v>
      </c>
      <c r="F180" s="26">
        <f t="shared" si="64"/>
        <v>137</v>
      </c>
      <c r="G180" s="31">
        <f t="shared" si="65"/>
        <v>16.1386</v>
      </c>
      <c r="H180" s="31">
        <f t="shared" si="66"/>
        <v>14.77</v>
      </c>
      <c r="I180" s="27"/>
      <c r="J180" s="32">
        <f t="shared" si="61"/>
        <v>78.981899999999996</v>
      </c>
      <c r="K180" s="33">
        <f t="shared" si="67"/>
        <v>30</v>
      </c>
      <c r="L180" s="32">
        <f t="shared" si="62"/>
        <v>2.63273</v>
      </c>
    </row>
    <row r="181" spans="1:16">
      <c r="A181" s="23">
        <v>43585</v>
      </c>
      <c r="B181" s="24">
        <v>111737</v>
      </c>
      <c r="C181" s="25">
        <f t="shared" si="56"/>
        <v>265</v>
      </c>
      <c r="D181" s="30">
        <f t="shared" si="63"/>
        <v>39.935499999999998</v>
      </c>
      <c r="E181" s="24">
        <v>90952</v>
      </c>
      <c r="F181" s="26">
        <f t="shared" si="64"/>
        <v>126</v>
      </c>
      <c r="G181" s="31">
        <f t="shared" si="65"/>
        <v>14.8428</v>
      </c>
      <c r="H181" s="31">
        <f t="shared" si="66"/>
        <v>14.277666666666667</v>
      </c>
      <c r="I181" s="27"/>
      <c r="J181" s="32">
        <f t="shared" si="61"/>
        <v>69.055966666666663</v>
      </c>
      <c r="K181" s="33">
        <f t="shared" si="67"/>
        <v>29</v>
      </c>
      <c r="L181" s="32">
        <f t="shared" si="62"/>
        <v>2.3812402298850572</v>
      </c>
    </row>
    <row r="182" spans="1:16">
      <c r="A182" s="23">
        <v>43617</v>
      </c>
      <c r="B182" s="24">
        <v>111938</v>
      </c>
      <c r="C182" s="25">
        <f t="shared" si="56"/>
        <v>201</v>
      </c>
      <c r="D182" s="30">
        <f t="shared" si="63"/>
        <v>30.290700000000001</v>
      </c>
      <c r="E182" s="24">
        <v>91071</v>
      </c>
      <c r="F182" s="26">
        <f t="shared" si="64"/>
        <v>119</v>
      </c>
      <c r="G182" s="31">
        <f t="shared" si="65"/>
        <v>14.0182</v>
      </c>
      <c r="H182" s="31">
        <f t="shared" si="66"/>
        <v>15.262333333333334</v>
      </c>
      <c r="I182" s="27"/>
      <c r="J182" s="32">
        <f t="shared" si="61"/>
        <v>59.571233333333339</v>
      </c>
      <c r="K182" s="33">
        <f t="shared" si="67"/>
        <v>31</v>
      </c>
      <c r="L182" s="32">
        <f t="shared" si="62"/>
        <v>1.9216526881720433</v>
      </c>
    </row>
    <row r="183" spans="1:16">
      <c r="A183" s="23">
        <v>43643</v>
      </c>
      <c r="B183" s="24">
        <v>112154</v>
      </c>
      <c r="C183" s="25">
        <f t="shared" si="56"/>
        <v>216</v>
      </c>
      <c r="D183" s="30">
        <f t="shared" si="63"/>
        <v>32.551200000000001</v>
      </c>
      <c r="E183" s="24">
        <v>91196</v>
      </c>
      <c r="F183" s="26">
        <f t="shared" si="64"/>
        <v>125</v>
      </c>
      <c r="G183" s="31">
        <f t="shared" si="65"/>
        <v>14.725</v>
      </c>
      <c r="H183" s="31">
        <f t="shared" si="66"/>
        <v>12.800666666666666</v>
      </c>
      <c r="I183" s="27"/>
      <c r="J183" s="32">
        <f t="shared" si="61"/>
        <v>60.076866666666668</v>
      </c>
      <c r="K183" s="33">
        <f t="shared" si="67"/>
        <v>26</v>
      </c>
      <c r="L183" s="32">
        <f t="shared" si="62"/>
        <v>2.3106487179487178</v>
      </c>
      <c r="M183" s="96" t="s">
        <v>55</v>
      </c>
      <c r="N183" t="s">
        <v>56</v>
      </c>
    </row>
    <row r="184" spans="1:16">
      <c r="A184" s="23">
        <v>43678</v>
      </c>
      <c r="B184" s="24">
        <v>112485</v>
      </c>
      <c r="C184" s="25">
        <f t="shared" si="56"/>
        <v>331</v>
      </c>
      <c r="D184" s="30">
        <f t="shared" si="63"/>
        <v>49.881700000000002</v>
      </c>
      <c r="E184" s="24">
        <v>91349</v>
      </c>
      <c r="F184" s="26">
        <f t="shared" si="64"/>
        <v>153</v>
      </c>
      <c r="G184" s="31">
        <f t="shared" si="65"/>
        <v>18.023399999999999</v>
      </c>
      <c r="H184" s="31">
        <f t="shared" si="66"/>
        <v>16.739333333333335</v>
      </c>
      <c r="I184" s="27"/>
      <c r="J184" s="32">
        <f t="shared" si="61"/>
        <v>84.644433333333339</v>
      </c>
      <c r="K184" s="33">
        <f t="shared" si="67"/>
        <v>34</v>
      </c>
      <c r="L184" s="32">
        <f t="shared" si="62"/>
        <v>2.4895421568627452</v>
      </c>
      <c r="N184" s="29" t="s">
        <v>57</v>
      </c>
      <c r="O184" s="29" t="s">
        <v>58</v>
      </c>
      <c r="P184" s="29" t="s">
        <v>47</v>
      </c>
    </row>
    <row r="185" spans="1:16">
      <c r="A185" s="23">
        <v>43712</v>
      </c>
      <c r="B185" s="24">
        <v>112940</v>
      </c>
      <c r="C185" s="25">
        <f t="shared" si="56"/>
        <v>455</v>
      </c>
      <c r="D185" s="30">
        <f t="shared" si="63"/>
        <v>68.5685</v>
      </c>
      <c r="E185" s="24">
        <v>91583</v>
      </c>
      <c r="F185" s="26">
        <f t="shared" si="64"/>
        <v>234</v>
      </c>
      <c r="G185" s="31">
        <f t="shared" si="65"/>
        <v>27.565200000000001</v>
      </c>
      <c r="H185" s="31">
        <f t="shared" si="66"/>
        <v>16.247</v>
      </c>
      <c r="I185" s="27"/>
      <c r="J185" s="32">
        <f t="shared" si="61"/>
        <v>112.3807</v>
      </c>
      <c r="K185" s="33">
        <f t="shared" si="67"/>
        <v>33</v>
      </c>
      <c r="L185" s="32">
        <f t="shared" si="62"/>
        <v>3.4054757575757577</v>
      </c>
      <c r="N185" s="29">
        <f>SUM(C169:C183)</f>
        <v>7844</v>
      </c>
      <c r="O185" s="29">
        <f>SUM(F169:F183)</f>
        <v>4209</v>
      </c>
      <c r="P185" s="29">
        <f>SUM(N185:O185)</f>
        <v>12053</v>
      </c>
    </row>
    <row r="186" spans="1:16">
      <c r="A186" s="23">
        <v>43735</v>
      </c>
      <c r="B186" s="24">
        <v>113245</v>
      </c>
      <c r="C186" s="25">
        <f t="shared" si="56"/>
        <v>305</v>
      </c>
      <c r="D186" s="30">
        <f t="shared" ref="D186" si="68">IF(B186&gt;0,$D$145*C186," ")</f>
        <v>39.65</v>
      </c>
      <c r="E186" s="24">
        <v>91727</v>
      </c>
      <c r="F186" s="26">
        <f t="shared" si="64"/>
        <v>144</v>
      </c>
      <c r="G186" s="31">
        <f t="shared" ref="G186" si="69">IF(E186&gt;0,$G$145*F186," ")</f>
        <v>13.968</v>
      </c>
      <c r="H186" s="31">
        <f t="shared" si="66"/>
        <v>11.323666666666666</v>
      </c>
      <c r="I186" s="27"/>
      <c r="J186" s="32">
        <f t="shared" si="61"/>
        <v>64.941666666666663</v>
      </c>
      <c r="K186" s="33">
        <f t="shared" si="67"/>
        <v>23</v>
      </c>
      <c r="L186" s="32">
        <f t="shared" si="62"/>
        <v>2.823550724637681</v>
      </c>
      <c r="N186">
        <f>N185/P185*100</f>
        <v>65.079233385879036</v>
      </c>
      <c r="O186">
        <f>O185/P185*100</f>
        <v>34.920766614120971</v>
      </c>
    </row>
    <row r="187" spans="1:16">
      <c r="A187" s="97">
        <v>43739</v>
      </c>
      <c r="B187" s="98" t="s">
        <v>2</v>
      </c>
      <c r="C187" s="98"/>
      <c r="D187" s="99">
        <v>0.14960000000000001</v>
      </c>
      <c r="E187" s="100" t="s">
        <v>3</v>
      </c>
      <c r="F187" s="100"/>
      <c r="G187" s="99">
        <v>0.11700000000000001</v>
      </c>
      <c r="H187" s="99"/>
      <c r="I187" s="99" t="s">
        <v>28</v>
      </c>
      <c r="J187" s="99">
        <v>190.68</v>
      </c>
      <c r="K187" s="101" t="s">
        <v>59</v>
      </c>
      <c r="L187" s="102"/>
      <c r="M187" s="102"/>
      <c r="N187" s="102"/>
      <c r="O187" s="103"/>
    </row>
    <row r="188" spans="1:16">
      <c r="A188" s="23">
        <v>43770</v>
      </c>
      <c r="B188" s="24">
        <v>113524</v>
      </c>
      <c r="C188" s="25">
        <f>IF(B188&gt;0,B188-B186," ")</f>
        <v>279</v>
      </c>
      <c r="D188" s="30">
        <f>IF(B188&gt;0,$D$187*C188," ")</f>
        <v>41.738400000000006</v>
      </c>
      <c r="E188" s="24">
        <v>91845</v>
      </c>
      <c r="F188" s="26">
        <f>IF(E188&gt;0,E188-E186," ")</f>
        <v>118</v>
      </c>
      <c r="G188" s="31">
        <f>IF(E188&gt;0,$G$187*F188," ")</f>
        <v>13.806000000000001</v>
      </c>
      <c r="H188" s="31">
        <f>IF(B188&gt;1,($J$187/360)*K188," ")</f>
        <v>18.00866666666667</v>
      </c>
      <c r="I188" s="27"/>
      <c r="J188" s="32">
        <f t="shared" si="61"/>
        <v>73.55306666666668</v>
      </c>
      <c r="K188" s="33">
        <f>IF(B188&gt;1,DAYS360(A186,A188)," ")</f>
        <v>34</v>
      </c>
      <c r="L188" s="32">
        <f t="shared" si="62"/>
        <v>2.1633254901960788</v>
      </c>
    </row>
    <row r="189" spans="1:16">
      <c r="A189" s="23">
        <v>43800</v>
      </c>
      <c r="B189" s="24">
        <v>114234</v>
      </c>
      <c r="C189" s="25">
        <f t="shared" ref="C189:C192" si="70">IF(B189&gt;0,B189-B188," ")</f>
        <v>710</v>
      </c>
      <c r="D189" s="30">
        <f t="shared" ref="D189:D222" si="71">IF(B189&gt;0,$D$187*C189," ")</f>
        <v>106.21600000000001</v>
      </c>
      <c r="E189" s="24">
        <v>92047</v>
      </c>
      <c r="F189" s="26">
        <f t="shared" ref="F189:F222" si="72">IF(E189&gt;0,E189-E188," ")</f>
        <v>202</v>
      </c>
      <c r="G189" s="31">
        <f t="shared" ref="G189:G216" si="73">IF(E189&gt;0,$G$187*F189," ")</f>
        <v>23.634</v>
      </c>
      <c r="H189" s="31">
        <f t="shared" ref="H189:H216" si="74">IF(B189&gt;1,($J$187/360)*K189," ")</f>
        <v>15.890000000000002</v>
      </c>
      <c r="I189" s="27"/>
      <c r="J189" s="32">
        <f t="shared" si="61"/>
        <v>145.74000000000004</v>
      </c>
      <c r="K189" s="33">
        <f>IF(B189&gt;1,DAYS360(A188,A189)," ")</f>
        <v>30</v>
      </c>
      <c r="L189" s="32">
        <f t="shared" si="62"/>
        <v>4.8580000000000014</v>
      </c>
    </row>
    <row r="190" spans="1:16">
      <c r="A190" s="23">
        <v>43831</v>
      </c>
      <c r="B190" s="24">
        <v>115223</v>
      </c>
      <c r="C190" s="25">
        <f t="shared" si="70"/>
        <v>989</v>
      </c>
      <c r="D190" s="30">
        <f t="shared" si="71"/>
        <v>147.95440000000002</v>
      </c>
      <c r="E190" s="24">
        <v>92399</v>
      </c>
      <c r="F190" s="26">
        <f t="shared" si="72"/>
        <v>352</v>
      </c>
      <c r="G190" s="31">
        <f t="shared" si="73"/>
        <v>41.184000000000005</v>
      </c>
      <c r="H190" s="31">
        <f t="shared" si="74"/>
        <v>15.890000000000002</v>
      </c>
      <c r="I190" s="27"/>
      <c r="J190" s="32">
        <f t="shared" si="61"/>
        <v>205.02840000000003</v>
      </c>
      <c r="K190" s="33">
        <f t="shared" ref="K190:K222" si="75">IF(B190&gt;1,DAYS360(A189,A190)," ")</f>
        <v>30</v>
      </c>
      <c r="L190" s="32">
        <f t="shared" si="62"/>
        <v>6.8342800000000015</v>
      </c>
      <c r="N190" s="93">
        <f>SUM(J169:J183)</f>
        <v>1910.3420333333333</v>
      </c>
    </row>
    <row r="191" spans="1:16">
      <c r="A191" s="23">
        <v>43862</v>
      </c>
      <c r="B191" s="24">
        <v>116266</v>
      </c>
      <c r="C191" s="25">
        <f t="shared" si="70"/>
        <v>1043</v>
      </c>
      <c r="D191" s="30">
        <f t="shared" si="71"/>
        <v>156.03280000000001</v>
      </c>
      <c r="E191" s="24">
        <v>92765</v>
      </c>
      <c r="F191" s="26">
        <f t="shared" si="72"/>
        <v>366</v>
      </c>
      <c r="G191" s="31">
        <f t="shared" si="73"/>
        <v>42.822000000000003</v>
      </c>
      <c r="H191" s="31">
        <f t="shared" si="74"/>
        <v>15.890000000000002</v>
      </c>
      <c r="I191" s="27"/>
      <c r="J191" s="32">
        <f t="shared" si="61"/>
        <v>214.74480000000003</v>
      </c>
      <c r="K191" s="33">
        <f t="shared" si="75"/>
        <v>30</v>
      </c>
      <c r="L191" s="32">
        <f t="shared" si="62"/>
        <v>7.1581600000000005</v>
      </c>
    </row>
    <row r="192" spans="1:16">
      <c r="A192" s="23">
        <v>43868</v>
      </c>
      <c r="B192" s="24">
        <v>116439</v>
      </c>
      <c r="C192" s="25">
        <f t="shared" si="70"/>
        <v>173</v>
      </c>
      <c r="D192" s="30">
        <f t="shared" si="71"/>
        <v>25.880800000000001</v>
      </c>
      <c r="E192" s="24">
        <v>92833</v>
      </c>
      <c r="F192" s="26">
        <f t="shared" si="72"/>
        <v>68</v>
      </c>
      <c r="G192" s="31">
        <f t="shared" si="73"/>
        <v>7.9560000000000004</v>
      </c>
      <c r="H192" s="31">
        <f t="shared" si="74"/>
        <v>3.1780000000000004</v>
      </c>
      <c r="I192" s="27"/>
      <c r="J192" s="32">
        <f t="shared" si="61"/>
        <v>37.014800000000001</v>
      </c>
      <c r="K192" s="33">
        <f t="shared" si="75"/>
        <v>6</v>
      </c>
      <c r="L192" s="32">
        <f t="shared" si="62"/>
        <v>6.1691333333333338</v>
      </c>
      <c r="M192" s="104" t="s">
        <v>60</v>
      </c>
    </row>
    <row r="193" spans="1:16">
      <c r="A193" s="23">
        <v>43875</v>
      </c>
      <c r="B193" s="24">
        <v>213</v>
      </c>
      <c r="C193" s="25">
        <v>213</v>
      </c>
      <c r="D193" s="30">
        <f t="shared" si="71"/>
        <v>31.864800000000002</v>
      </c>
      <c r="E193" s="24">
        <v>110</v>
      </c>
      <c r="F193" s="26">
        <v>110</v>
      </c>
      <c r="G193" s="31">
        <f t="shared" si="73"/>
        <v>12.870000000000001</v>
      </c>
      <c r="H193" s="31">
        <f t="shared" si="74"/>
        <v>3.7076666666666673</v>
      </c>
      <c r="I193" s="27"/>
      <c r="J193" s="32">
        <f t="shared" si="61"/>
        <v>48.442466666666675</v>
      </c>
      <c r="K193" s="33">
        <f t="shared" si="75"/>
        <v>7</v>
      </c>
      <c r="L193" s="32">
        <f t="shared" si="62"/>
        <v>6.9203523809523819</v>
      </c>
      <c r="M193" s="105" t="s">
        <v>61</v>
      </c>
    </row>
    <row r="194" spans="1:16">
      <c r="A194" s="23">
        <v>43891</v>
      </c>
      <c r="B194" s="24">
        <v>688</v>
      </c>
      <c r="C194" s="25">
        <f t="shared" ref="C194:C222" si="76">IF(B194&gt;0,B194-B193," ")</f>
        <v>475</v>
      </c>
      <c r="D194" s="30">
        <f t="shared" si="71"/>
        <v>71.06</v>
      </c>
      <c r="E194" s="24">
        <v>397</v>
      </c>
      <c r="F194" s="26">
        <f t="shared" ref="F194:F221" si="77">IF(E194&gt;0,E194-E193," ")</f>
        <v>287</v>
      </c>
      <c r="G194" s="31">
        <f t="shared" si="73"/>
        <v>33.579000000000001</v>
      </c>
      <c r="H194" s="31">
        <f t="shared" si="74"/>
        <v>9.0043333333333351</v>
      </c>
      <c r="I194" s="27"/>
      <c r="J194" s="32">
        <f t="shared" si="61"/>
        <v>113.64333333333335</v>
      </c>
      <c r="K194" s="33">
        <f t="shared" si="75"/>
        <v>17</v>
      </c>
      <c r="L194" s="32">
        <f t="shared" si="62"/>
        <v>6.6849019607843143</v>
      </c>
    </row>
    <row r="195" spans="1:16">
      <c r="A195" s="23">
        <v>43922</v>
      </c>
      <c r="B195" s="24">
        <v>1557</v>
      </c>
      <c r="C195" s="25">
        <f t="shared" si="76"/>
        <v>869</v>
      </c>
      <c r="D195" s="30">
        <f t="shared" si="71"/>
        <v>130.00240000000002</v>
      </c>
      <c r="E195" s="24">
        <v>858</v>
      </c>
      <c r="F195" s="26">
        <f t="shared" si="77"/>
        <v>461</v>
      </c>
      <c r="G195" s="31">
        <f t="shared" si="73"/>
        <v>53.937000000000005</v>
      </c>
      <c r="H195" s="31">
        <f t="shared" si="74"/>
        <v>15.890000000000002</v>
      </c>
      <c r="I195" s="27"/>
      <c r="J195" s="32">
        <f t="shared" si="61"/>
        <v>199.82940000000005</v>
      </c>
      <c r="K195" s="33">
        <f t="shared" si="75"/>
        <v>30</v>
      </c>
      <c r="L195" s="32">
        <f t="shared" si="62"/>
        <v>6.6609800000000012</v>
      </c>
    </row>
    <row r="196" spans="1:16">
      <c r="A196" s="23">
        <v>43932</v>
      </c>
      <c r="B196" s="24">
        <v>1715</v>
      </c>
      <c r="C196" s="25">
        <f t="shared" si="76"/>
        <v>158</v>
      </c>
      <c r="D196" s="30">
        <f t="shared" si="71"/>
        <v>23.636800000000001</v>
      </c>
      <c r="E196" s="24">
        <v>953</v>
      </c>
      <c r="F196" s="26">
        <f t="shared" si="77"/>
        <v>95</v>
      </c>
      <c r="G196" s="31">
        <f t="shared" si="73"/>
        <v>11.115</v>
      </c>
      <c r="H196" s="31">
        <f t="shared" si="74"/>
        <v>5.2966666666666669</v>
      </c>
      <c r="I196" s="27"/>
      <c r="J196" s="32">
        <f t="shared" si="61"/>
        <v>40.04846666666667</v>
      </c>
      <c r="K196" s="33">
        <f t="shared" si="75"/>
        <v>10</v>
      </c>
      <c r="L196" s="32">
        <f t="shared" si="62"/>
        <v>4.0048466666666673</v>
      </c>
    </row>
    <row r="197" spans="1:16">
      <c r="A197" s="23">
        <v>43952</v>
      </c>
      <c r="B197" s="24">
        <v>1932</v>
      </c>
      <c r="C197" s="25">
        <f t="shared" si="76"/>
        <v>217</v>
      </c>
      <c r="D197" s="30">
        <f t="shared" si="71"/>
        <v>32.463200000000001</v>
      </c>
      <c r="E197" s="24">
        <v>1058</v>
      </c>
      <c r="F197" s="26">
        <f t="shared" si="77"/>
        <v>105</v>
      </c>
      <c r="G197" s="31">
        <f t="shared" si="73"/>
        <v>12.285</v>
      </c>
      <c r="H197" s="31">
        <f t="shared" si="74"/>
        <v>10.593333333333334</v>
      </c>
      <c r="I197" s="27"/>
      <c r="J197" s="32">
        <f t="shared" si="61"/>
        <v>55.341533333333331</v>
      </c>
      <c r="K197" s="33">
        <f t="shared" si="75"/>
        <v>20</v>
      </c>
      <c r="L197" s="32">
        <f t="shared" si="62"/>
        <v>2.7670766666666666</v>
      </c>
    </row>
    <row r="198" spans="1:16">
      <c r="A198" s="23">
        <v>43983</v>
      </c>
      <c r="B198" s="24">
        <v>2222</v>
      </c>
      <c r="C198" s="25">
        <f t="shared" si="76"/>
        <v>290</v>
      </c>
      <c r="D198" s="30">
        <f t="shared" si="71"/>
        <v>43.384</v>
      </c>
      <c r="E198" s="24">
        <v>1206</v>
      </c>
      <c r="F198" s="26">
        <f t="shared" si="77"/>
        <v>148</v>
      </c>
      <c r="G198" s="31">
        <f t="shared" si="73"/>
        <v>17.316000000000003</v>
      </c>
      <c r="H198" s="31">
        <f t="shared" si="74"/>
        <v>15.890000000000002</v>
      </c>
      <c r="I198" s="27"/>
      <c r="J198" s="32">
        <f t="shared" si="61"/>
        <v>76.59</v>
      </c>
      <c r="K198" s="33">
        <f t="shared" si="75"/>
        <v>30</v>
      </c>
      <c r="L198" s="32">
        <f t="shared" si="62"/>
        <v>2.5529999999999999</v>
      </c>
    </row>
    <row r="199" spans="1:16">
      <c r="A199" s="23">
        <v>44009</v>
      </c>
      <c r="B199" s="24">
        <v>2496</v>
      </c>
      <c r="C199" s="25">
        <f t="shared" si="76"/>
        <v>274</v>
      </c>
      <c r="D199" s="30">
        <f t="shared" si="71"/>
        <v>40.990400000000001</v>
      </c>
      <c r="E199" s="24">
        <v>1343</v>
      </c>
      <c r="F199" s="26">
        <f t="shared" si="77"/>
        <v>137</v>
      </c>
      <c r="G199" s="31">
        <f t="shared" si="73"/>
        <v>16.029</v>
      </c>
      <c r="H199" s="31">
        <f t="shared" si="74"/>
        <v>13.771333333333335</v>
      </c>
      <c r="I199" s="27"/>
      <c r="J199" s="32">
        <f t="shared" si="61"/>
        <v>70.790733333333336</v>
      </c>
      <c r="K199" s="33">
        <f t="shared" si="75"/>
        <v>26</v>
      </c>
      <c r="L199" s="32">
        <f t="shared" si="62"/>
        <v>2.722720512820513</v>
      </c>
      <c r="M199" s="96" t="s">
        <v>62</v>
      </c>
      <c r="N199" t="s">
        <v>63</v>
      </c>
    </row>
    <row r="200" spans="1:16">
      <c r="A200" s="23">
        <v>44013</v>
      </c>
      <c r="B200" s="24">
        <v>2549</v>
      </c>
      <c r="C200" s="25">
        <f t="shared" si="76"/>
        <v>53</v>
      </c>
      <c r="D200" s="30">
        <f t="shared" si="71"/>
        <v>7.9288000000000007</v>
      </c>
      <c r="E200" s="24">
        <v>1365</v>
      </c>
      <c r="F200" s="26">
        <f t="shared" si="77"/>
        <v>22</v>
      </c>
      <c r="G200" s="31">
        <f t="shared" si="73"/>
        <v>2.5740000000000003</v>
      </c>
      <c r="H200" s="31">
        <f t="shared" si="74"/>
        <v>2.1186666666666669</v>
      </c>
      <c r="I200" s="27"/>
      <c r="J200" s="32">
        <f t="shared" si="61"/>
        <v>12.621466666666667</v>
      </c>
      <c r="K200" s="33">
        <f t="shared" si="75"/>
        <v>4</v>
      </c>
      <c r="L200" s="32">
        <f t="shared" si="62"/>
        <v>3.1553666666666667</v>
      </c>
      <c r="N200" s="29" t="s">
        <v>57</v>
      </c>
      <c r="O200" s="29" t="s">
        <v>58</v>
      </c>
      <c r="P200" s="29" t="s">
        <v>47</v>
      </c>
    </row>
    <row r="201" spans="1:16">
      <c r="A201" s="23">
        <v>44044</v>
      </c>
      <c r="B201" s="24">
        <v>2999</v>
      </c>
      <c r="C201" s="25">
        <f t="shared" si="76"/>
        <v>450</v>
      </c>
      <c r="D201" s="30">
        <f t="shared" si="71"/>
        <v>67.320000000000007</v>
      </c>
      <c r="E201" s="24">
        <v>1556</v>
      </c>
      <c r="F201" s="26">
        <f t="shared" si="77"/>
        <v>191</v>
      </c>
      <c r="G201" s="31">
        <f t="shared" si="73"/>
        <v>22.347000000000001</v>
      </c>
      <c r="H201" s="31">
        <f t="shared" si="74"/>
        <v>15.890000000000002</v>
      </c>
      <c r="I201" s="27"/>
      <c r="J201" s="32">
        <f t="shared" si="61"/>
        <v>105.557</v>
      </c>
      <c r="K201" s="33">
        <f t="shared" si="75"/>
        <v>30</v>
      </c>
      <c r="L201" s="32">
        <f t="shared" si="62"/>
        <v>3.5185666666666666</v>
      </c>
      <c r="N201" s="29">
        <v>6514</v>
      </c>
      <c r="O201" s="29">
        <v>3035</v>
      </c>
      <c r="P201" s="29">
        <f>SUM(N201:O201)</f>
        <v>9549</v>
      </c>
    </row>
    <row r="202" spans="1:16">
      <c r="A202" s="23">
        <v>44075</v>
      </c>
      <c r="B202" s="24">
        <v>3532</v>
      </c>
      <c r="C202" s="25">
        <f t="shared" si="76"/>
        <v>533</v>
      </c>
      <c r="D202" s="30">
        <f t="shared" si="71"/>
        <v>79.736800000000002</v>
      </c>
      <c r="E202" s="24">
        <v>1765</v>
      </c>
      <c r="F202" s="26">
        <f t="shared" si="77"/>
        <v>209</v>
      </c>
      <c r="G202" s="31">
        <f t="shared" si="73"/>
        <v>24.453000000000003</v>
      </c>
      <c r="H202" s="31">
        <f t="shared" si="74"/>
        <v>15.890000000000002</v>
      </c>
      <c r="I202" s="27"/>
      <c r="J202" s="32">
        <f t="shared" si="61"/>
        <v>120.07980000000001</v>
      </c>
      <c r="K202" s="33">
        <f t="shared" si="75"/>
        <v>30</v>
      </c>
      <c r="L202" s="32">
        <f t="shared" si="62"/>
        <v>4.0026600000000006</v>
      </c>
      <c r="N202" s="106">
        <v>0.68210000000000004</v>
      </c>
      <c r="O202" s="106">
        <v>0.31780000000000003</v>
      </c>
    </row>
    <row r="203" spans="1:16">
      <c r="A203" s="23">
        <v>44105</v>
      </c>
      <c r="B203" s="24">
        <v>3992</v>
      </c>
      <c r="C203" s="25">
        <f t="shared" si="76"/>
        <v>460</v>
      </c>
      <c r="D203" s="30">
        <f t="shared" si="71"/>
        <v>68.816000000000003</v>
      </c>
      <c r="E203" s="24">
        <v>1971</v>
      </c>
      <c r="F203" s="26">
        <f t="shared" si="77"/>
        <v>206</v>
      </c>
      <c r="G203" s="31">
        <f t="shared" si="73"/>
        <v>24.102</v>
      </c>
      <c r="H203" s="31">
        <f t="shared" si="74"/>
        <v>15.890000000000002</v>
      </c>
      <c r="I203" s="27"/>
      <c r="J203" s="32">
        <f t="shared" si="61"/>
        <v>108.80800000000001</v>
      </c>
      <c r="K203" s="33">
        <f t="shared" si="75"/>
        <v>30</v>
      </c>
      <c r="L203" s="32">
        <f t="shared" si="62"/>
        <v>3.6269333333333336</v>
      </c>
    </row>
    <row r="204" spans="1:16">
      <c r="A204" s="23">
        <v>44136</v>
      </c>
      <c r="B204" s="24">
        <v>4745</v>
      </c>
      <c r="C204" s="25">
        <f t="shared" si="76"/>
        <v>753</v>
      </c>
      <c r="D204" s="30">
        <f t="shared" si="71"/>
        <v>112.64880000000001</v>
      </c>
      <c r="E204" s="24">
        <v>2249</v>
      </c>
      <c r="F204" s="26">
        <f t="shared" si="77"/>
        <v>278</v>
      </c>
      <c r="G204" s="31">
        <f t="shared" si="73"/>
        <v>32.526000000000003</v>
      </c>
      <c r="H204" s="31">
        <f t="shared" si="74"/>
        <v>15.890000000000002</v>
      </c>
      <c r="I204" s="27"/>
      <c r="J204" s="32">
        <f t="shared" si="61"/>
        <v>161.06480000000002</v>
      </c>
      <c r="K204" s="33">
        <f t="shared" si="75"/>
        <v>30</v>
      </c>
      <c r="L204" s="32">
        <f t="shared" si="62"/>
        <v>5.3688266666666671</v>
      </c>
    </row>
    <row r="205" spans="1:16">
      <c r="A205" s="23">
        <v>44166</v>
      </c>
      <c r="B205" s="24">
        <v>5671</v>
      </c>
      <c r="C205" s="25">
        <f t="shared" si="76"/>
        <v>926</v>
      </c>
      <c r="D205" s="30">
        <f t="shared" si="71"/>
        <v>138.52960000000002</v>
      </c>
      <c r="E205" s="24">
        <v>2641</v>
      </c>
      <c r="F205" s="26">
        <f t="shared" si="77"/>
        <v>392</v>
      </c>
      <c r="G205" s="31">
        <f t="shared" si="73"/>
        <v>45.864000000000004</v>
      </c>
      <c r="H205" s="31">
        <f t="shared" si="74"/>
        <v>15.890000000000002</v>
      </c>
      <c r="I205" s="27"/>
      <c r="J205" s="32">
        <f t="shared" si="61"/>
        <v>200.28360000000004</v>
      </c>
      <c r="K205" s="33">
        <f t="shared" si="75"/>
        <v>30</v>
      </c>
      <c r="L205" s="32">
        <f t="shared" si="62"/>
        <v>6.6761200000000009</v>
      </c>
    </row>
    <row r="206" spans="1:16">
      <c r="A206" s="23">
        <v>44197</v>
      </c>
      <c r="B206" s="24">
        <v>6892</v>
      </c>
      <c r="C206" s="25">
        <f t="shared" si="76"/>
        <v>1221</v>
      </c>
      <c r="D206" s="30">
        <f t="shared" si="71"/>
        <v>182.66160000000002</v>
      </c>
      <c r="E206" s="24">
        <v>3060</v>
      </c>
      <c r="F206" s="26">
        <f t="shared" si="77"/>
        <v>419</v>
      </c>
      <c r="G206" s="31">
        <f t="shared" si="73"/>
        <v>49.023000000000003</v>
      </c>
      <c r="H206" s="31">
        <f t="shared" si="74"/>
        <v>15.890000000000002</v>
      </c>
      <c r="I206" s="27"/>
      <c r="J206" s="32">
        <f t="shared" si="61"/>
        <v>247.57460000000003</v>
      </c>
      <c r="K206" s="33">
        <f t="shared" si="75"/>
        <v>30</v>
      </c>
      <c r="L206" s="32">
        <f t="shared" si="62"/>
        <v>8.2524866666666679</v>
      </c>
    </row>
    <row r="207" spans="1:16">
      <c r="A207" s="23">
        <v>44228</v>
      </c>
      <c r="B207" s="24">
        <v>8320</v>
      </c>
      <c r="C207" s="25">
        <f t="shared" si="76"/>
        <v>1428</v>
      </c>
      <c r="D207" s="30">
        <f t="shared" si="71"/>
        <v>213.62880000000001</v>
      </c>
      <c r="E207" s="24">
        <v>3607</v>
      </c>
      <c r="F207" s="26">
        <f t="shared" si="77"/>
        <v>547</v>
      </c>
      <c r="G207" s="31">
        <f t="shared" si="73"/>
        <v>63.999000000000002</v>
      </c>
      <c r="H207" s="31">
        <f t="shared" si="74"/>
        <v>15.890000000000002</v>
      </c>
      <c r="I207" s="27"/>
      <c r="J207" s="32">
        <f t="shared" si="61"/>
        <v>293.51780000000002</v>
      </c>
      <c r="K207" s="33">
        <f t="shared" si="75"/>
        <v>30</v>
      </c>
      <c r="L207" s="32">
        <f t="shared" si="62"/>
        <v>9.7839266666666678</v>
      </c>
    </row>
    <row r="208" spans="1:16">
      <c r="A208" s="23">
        <v>44256</v>
      </c>
      <c r="B208" s="24">
        <v>9398</v>
      </c>
      <c r="C208" s="25">
        <f t="shared" si="76"/>
        <v>1078</v>
      </c>
      <c r="D208" s="30">
        <f t="shared" si="71"/>
        <v>161.2688</v>
      </c>
      <c r="E208" s="24">
        <v>4030</v>
      </c>
      <c r="F208" s="26">
        <f t="shared" si="77"/>
        <v>423</v>
      </c>
      <c r="G208" s="31">
        <f t="shared" si="73"/>
        <v>49.491</v>
      </c>
      <c r="H208" s="31">
        <f t="shared" si="74"/>
        <v>15.890000000000002</v>
      </c>
      <c r="I208" s="27"/>
      <c r="J208" s="32">
        <f t="shared" si="61"/>
        <v>226.6498</v>
      </c>
      <c r="K208" s="33">
        <f t="shared" si="75"/>
        <v>30</v>
      </c>
      <c r="L208" s="32">
        <f t="shared" si="62"/>
        <v>7.554993333333333</v>
      </c>
    </row>
    <row r="209" spans="1:15">
      <c r="A209" s="23">
        <v>44287</v>
      </c>
      <c r="B209" s="24">
        <v>10423</v>
      </c>
      <c r="C209" s="25">
        <f t="shared" si="76"/>
        <v>1025</v>
      </c>
      <c r="D209" s="30">
        <f t="shared" si="71"/>
        <v>153.34</v>
      </c>
      <c r="E209" s="24">
        <v>4441</v>
      </c>
      <c r="F209" s="26">
        <f t="shared" si="77"/>
        <v>411</v>
      </c>
      <c r="G209" s="31">
        <f t="shared" si="73"/>
        <v>48.087000000000003</v>
      </c>
      <c r="H209" s="31">
        <f t="shared" si="74"/>
        <v>15.890000000000002</v>
      </c>
      <c r="I209" s="27"/>
      <c r="J209" s="32">
        <f t="shared" si="61"/>
        <v>217.31700000000004</v>
      </c>
      <c r="K209" s="33">
        <f t="shared" si="75"/>
        <v>30</v>
      </c>
      <c r="L209" s="32">
        <f t="shared" si="62"/>
        <v>7.2439000000000009</v>
      </c>
    </row>
    <row r="210" spans="1:15">
      <c r="A210" s="23">
        <v>44317</v>
      </c>
      <c r="B210" s="24">
        <v>11132</v>
      </c>
      <c r="C210" s="25">
        <f t="shared" si="76"/>
        <v>709</v>
      </c>
      <c r="D210" s="30">
        <f t="shared" si="71"/>
        <v>106.0664</v>
      </c>
      <c r="E210" s="24">
        <v>4786</v>
      </c>
      <c r="F210" s="26">
        <f t="shared" si="77"/>
        <v>345</v>
      </c>
      <c r="G210" s="31">
        <f t="shared" si="73"/>
        <v>40.365000000000002</v>
      </c>
      <c r="H210" s="31">
        <f t="shared" si="74"/>
        <v>15.890000000000002</v>
      </c>
      <c r="I210" s="27"/>
      <c r="J210" s="32">
        <f t="shared" si="61"/>
        <v>162.32140000000001</v>
      </c>
      <c r="K210" s="33">
        <f t="shared" si="75"/>
        <v>30</v>
      </c>
      <c r="L210" s="32">
        <f t="shared" si="62"/>
        <v>5.4107133333333337</v>
      </c>
    </row>
    <row r="211" spans="1:15">
      <c r="A211" s="23">
        <v>44348</v>
      </c>
      <c r="B211" s="24">
        <v>11756</v>
      </c>
      <c r="C211" s="25">
        <f t="shared" si="76"/>
        <v>624</v>
      </c>
      <c r="D211" s="30">
        <f t="shared" si="71"/>
        <v>93.350400000000008</v>
      </c>
      <c r="E211" s="24">
        <v>5121</v>
      </c>
      <c r="F211" s="26">
        <f t="shared" si="77"/>
        <v>335</v>
      </c>
      <c r="G211" s="31">
        <f t="shared" si="73"/>
        <v>39.195</v>
      </c>
      <c r="H211" s="31">
        <f t="shared" si="74"/>
        <v>15.890000000000002</v>
      </c>
      <c r="I211" s="27"/>
      <c r="J211" s="32">
        <f t="shared" si="61"/>
        <v>148.43540000000002</v>
      </c>
      <c r="K211" s="33">
        <f t="shared" si="75"/>
        <v>30</v>
      </c>
      <c r="L211" s="32">
        <f t="shared" si="62"/>
        <v>4.9478466666666669</v>
      </c>
      <c r="M211" t="s">
        <v>64</v>
      </c>
    </row>
    <row r="212" spans="1:15">
      <c r="A212" s="23">
        <v>44367</v>
      </c>
      <c r="B212" s="24">
        <v>12047</v>
      </c>
      <c r="C212" s="25">
        <f t="shared" si="76"/>
        <v>291</v>
      </c>
      <c r="D212" s="30">
        <f t="shared" si="71"/>
        <v>43.5336</v>
      </c>
      <c r="E212" s="24">
        <v>5232</v>
      </c>
      <c r="F212" s="26">
        <f t="shared" si="77"/>
        <v>111</v>
      </c>
      <c r="G212" s="31">
        <f t="shared" si="73"/>
        <v>12.987</v>
      </c>
      <c r="H212" s="31">
        <f t="shared" si="74"/>
        <v>10.063666666666668</v>
      </c>
      <c r="I212" s="27"/>
      <c r="J212" s="32">
        <f t="shared" si="61"/>
        <v>66.584266666666664</v>
      </c>
      <c r="K212" s="33">
        <f t="shared" si="75"/>
        <v>19</v>
      </c>
      <c r="L212" s="32">
        <f t="shared" si="62"/>
        <v>3.504435087719298</v>
      </c>
      <c r="M212" t="s">
        <v>65</v>
      </c>
    </row>
    <row r="213" spans="1:15">
      <c r="A213" s="23">
        <v>44378</v>
      </c>
      <c r="B213" s="24">
        <v>12148</v>
      </c>
      <c r="C213" s="25">
        <f t="shared" si="76"/>
        <v>101</v>
      </c>
      <c r="D213" s="30">
        <f t="shared" si="71"/>
        <v>15.1096</v>
      </c>
      <c r="E213" s="24">
        <v>5272</v>
      </c>
      <c r="F213" s="26">
        <f t="shared" si="77"/>
        <v>40</v>
      </c>
      <c r="G213" s="31">
        <f t="shared" si="73"/>
        <v>4.6800000000000006</v>
      </c>
      <c r="H213" s="31">
        <f t="shared" si="74"/>
        <v>5.8263333333333343</v>
      </c>
      <c r="I213" s="27"/>
      <c r="J213" s="32">
        <f t="shared" si="61"/>
        <v>25.615933333333334</v>
      </c>
      <c r="K213" s="33">
        <f t="shared" si="75"/>
        <v>11</v>
      </c>
      <c r="L213" s="32">
        <f t="shared" si="62"/>
        <v>2.3287212121212124</v>
      </c>
    </row>
    <row r="214" spans="1:15">
      <c r="A214" s="23">
        <v>44411</v>
      </c>
      <c r="B214" s="24">
        <v>12557</v>
      </c>
      <c r="C214" s="25">
        <f t="shared" si="76"/>
        <v>409</v>
      </c>
      <c r="D214" s="30">
        <f t="shared" si="71"/>
        <v>61.186400000000006</v>
      </c>
      <c r="E214" s="24">
        <v>5458</v>
      </c>
      <c r="F214" s="26">
        <f t="shared" si="77"/>
        <v>186</v>
      </c>
      <c r="G214" s="31">
        <f t="shared" si="73"/>
        <v>21.762</v>
      </c>
      <c r="H214" s="31">
        <f t="shared" si="74"/>
        <v>16.949333333333335</v>
      </c>
      <c r="I214" s="27"/>
      <c r="J214" s="32">
        <f t="shared" si="61"/>
        <v>99.897733333333349</v>
      </c>
      <c r="K214" s="33">
        <f t="shared" si="75"/>
        <v>32</v>
      </c>
      <c r="L214" s="32">
        <f t="shared" si="62"/>
        <v>3.1218041666666672</v>
      </c>
    </row>
    <row r="215" spans="1:15">
      <c r="A215" s="23">
        <v>44440</v>
      </c>
      <c r="B215" s="24">
        <v>12940</v>
      </c>
      <c r="C215" s="25">
        <f t="shared" si="76"/>
        <v>383</v>
      </c>
      <c r="D215" s="30">
        <f t="shared" si="71"/>
        <v>57.296800000000005</v>
      </c>
      <c r="E215" s="24">
        <v>5640</v>
      </c>
      <c r="F215" s="26">
        <f t="shared" si="77"/>
        <v>182</v>
      </c>
      <c r="G215" s="31">
        <f t="shared" si="73"/>
        <v>21.294</v>
      </c>
      <c r="H215" s="31">
        <f t="shared" si="74"/>
        <v>14.830666666666669</v>
      </c>
      <c r="I215" s="27"/>
      <c r="J215" s="32">
        <f t="shared" si="61"/>
        <v>93.421466666666674</v>
      </c>
      <c r="K215" s="33">
        <f t="shared" si="75"/>
        <v>28</v>
      </c>
      <c r="L215" s="32">
        <f t="shared" si="62"/>
        <v>3.3364809523809527</v>
      </c>
    </row>
    <row r="216" spans="1:15">
      <c r="A216" s="23">
        <v>44472</v>
      </c>
      <c r="B216" s="24">
        <v>13272</v>
      </c>
      <c r="C216" s="25">
        <f t="shared" si="76"/>
        <v>332</v>
      </c>
      <c r="D216" s="30">
        <f t="shared" si="71"/>
        <v>49.667200000000001</v>
      </c>
      <c r="E216" s="24">
        <v>5802</v>
      </c>
      <c r="F216" s="26">
        <f t="shared" si="77"/>
        <v>162</v>
      </c>
      <c r="G216" s="31">
        <f t="shared" si="73"/>
        <v>18.954000000000001</v>
      </c>
      <c r="H216" s="31">
        <f t="shared" si="74"/>
        <v>16.949333333333335</v>
      </c>
      <c r="I216" s="27"/>
      <c r="J216" s="32">
        <f t="shared" si="61"/>
        <v>85.570533333333344</v>
      </c>
      <c r="K216" s="33">
        <f t="shared" si="75"/>
        <v>32</v>
      </c>
      <c r="L216" s="32">
        <f t="shared" si="62"/>
        <v>2.674079166666667</v>
      </c>
      <c r="N216" s="93">
        <f>SUM(J199:J212)</f>
        <v>2141.6056666666668</v>
      </c>
    </row>
    <row r="217" spans="1:15">
      <c r="A217" s="97">
        <v>44501</v>
      </c>
      <c r="B217" s="98" t="s">
        <v>2</v>
      </c>
      <c r="C217" s="98"/>
      <c r="D217" s="99">
        <v>0.24429999999999999</v>
      </c>
      <c r="E217" s="100" t="s">
        <v>3</v>
      </c>
      <c r="F217" s="100"/>
      <c r="G217" s="99">
        <v>0.1996</v>
      </c>
      <c r="H217" s="99"/>
      <c r="I217" s="99" t="s">
        <v>28</v>
      </c>
      <c r="J217" s="99">
        <f>22.67*12</f>
        <v>272.04000000000002</v>
      </c>
      <c r="K217" s="101" t="s">
        <v>66</v>
      </c>
      <c r="L217" s="102"/>
      <c r="M217" s="102"/>
      <c r="N217" s="102"/>
      <c r="O217" s="103"/>
    </row>
    <row r="218" spans="1:15">
      <c r="A218" s="23">
        <v>44501</v>
      </c>
      <c r="B218" s="24">
        <v>13808</v>
      </c>
      <c r="C218" s="25">
        <f>IF(B218&gt;0,B218-B216," ")</f>
        <v>536</v>
      </c>
      <c r="D218" s="30">
        <f>IF(B218&gt;0,$D$217*C218," ")</f>
        <v>130.94479999999999</v>
      </c>
      <c r="E218" s="24">
        <v>6091</v>
      </c>
      <c r="F218" s="26">
        <f>IF(E218&gt;0,E218-E216," ")</f>
        <v>289</v>
      </c>
      <c r="G218" s="31">
        <f>IF(E218&gt;0,$G$217*F218," ")</f>
        <v>57.684399999999997</v>
      </c>
      <c r="H218" s="31">
        <f>IF(B218&gt;1,($J$217/360)*K218," ")</f>
        <v>21.158666666666669</v>
      </c>
      <c r="I218" s="27"/>
      <c r="J218" s="32">
        <f t="shared" si="61"/>
        <v>209.78786666666664</v>
      </c>
      <c r="K218" s="33">
        <f>IF(B218&gt;1,DAYS360(A216,A218)," ")</f>
        <v>28</v>
      </c>
      <c r="L218" s="32">
        <f t="shared" si="62"/>
        <v>7.4924238095238085</v>
      </c>
    </row>
    <row r="219" spans="1:15">
      <c r="A219" s="23">
        <v>44531</v>
      </c>
      <c r="B219" s="24">
        <v>14700</v>
      </c>
      <c r="C219" s="25">
        <f t="shared" si="76"/>
        <v>892</v>
      </c>
      <c r="D219" s="30">
        <f t="shared" ref="D219:D221" si="78">IF(B219&gt;0,$D$217*C219," ")</f>
        <v>217.91559999999998</v>
      </c>
      <c r="E219" s="24">
        <v>6322</v>
      </c>
      <c r="F219" s="26">
        <f t="shared" si="77"/>
        <v>231</v>
      </c>
      <c r="G219" s="31">
        <f t="shared" ref="G219:G221" si="79">IF(E219&gt;0,$G$217*F219," ")</f>
        <v>46.107599999999998</v>
      </c>
      <c r="H219" s="31">
        <f t="shared" ref="H219:H221" si="80">IF(B219&gt;1,($J$217/360)*K219," ")</f>
        <v>22.67</v>
      </c>
      <c r="I219" s="27"/>
      <c r="J219" s="32">
        <f t="shared" si="61"/>
        <v>286.69319999999999</v>
      </c>
      <c r="K219" s="33">
        <f t="shared" si="75"/>
        <v>30</v>
      </c>
      <c r="L219" s="32">
        <f t="shared" si="62"/>
        <v>9.5564400000000003</v>
      </c>
    </row>
    <row r="220" spans="1:15">
      <c r="A220" s="23">
        <v>44562</v>
      </c>
      <c r="B220" s="24">
        <v>15895</v>
      </c>
      <c r="C220" s="25">
        <f t="shared" si="76"/>
        <v>1195</v>
      </c>
      <c r="D220" s="30">
        <f t="shared" si="78"/>
        <v>291.93849999999998</v>
      </c>
      <c r="E220" s="24">
        <v>6610</v>
      </c>
      <c r="F220" s="26">
        <f t="shared" si="77"/>
        <v>288</v>
      </c>
      <c r="G220" s="31">
        <f t="shared" si="79"/>
        <v>57.4848</v>
      </c>
      <c r="H220" s="31">
        <f t="shared" si="80"/>
        <v>22.67</v>
      </c>
      <c r="I220" s="27"/>
      <c r="J220" s="32">
        <f t="shared" si="61"/>
        <v>372.0933</v>
      </c>
      <c r="K220" s="33">
        <f t="shared" si="75"/>
        <v>30</v>
      </c>
      <c r="L220" s="32">
        <f t="shared" si="62"/>
        <v>12.40311</v>
      </c>
    </row>
    <row r="221" spans="1:15">
      <c r="A221" s="23">
        <v>44593</v>
      </c>
      <c r="B221" s="24">
        <v>17286</v>
      </c>
      <c r="C221" s="25">
        <f t="shared" si="76"/>
        <v>1391</v>
      </c>
      <c r="D221" s="30">
        <f t="shared" si="78"/>
        <v>339.82130000000001</v>
      </c>
      <c r="E221" s="24">
        <v>7067</v>
      </c>
      <c r="F221" s="26">
        <f t="shared" si="77"/>
        <v>457</v>
      </c>
      <c r="G221" s="31">
        <f t="shared" si="79"/>
        <v>91.217200000000005</v>
      </c>
      <c r="H221" s="31">
        <f t="shared" si="80"/>
        <v>22.67</v>
      </c>
      <c r="I221" s="27"/>
      <c r="J221" s="32">
        <f t="shared" si="61"/>
        <v>453.70850000000002</v>
      </c>
      <c r="K221" s="33">
        <f t="shared" si="75"/>
        <v>30</v>
      </c>
      <c r="L221" s="32">
        <f t="shared" si="62"/>
        <v>15.123616666666667</v>
      </c>
    </row>
    <row r="222" spans="1:15">
      <c r="A222" s="23">
        <v>44595</v>
      </c>
      <c r="B222" s="107">
        <v>17312</v>
      </c>
      <c r="C222" s="25">
        <f t="shared" si="76"/>
        <v>26</v>
      </c>
      <c r="D222" s="30">
        <f t="shared" si="71"/>
        <v>3.8896000000000002</v>
      </c>
      <c r="E222" s="107">
        <v>7115</v>
      </c>
      <c r="F222" s="26">
        <f t="shared" si="72"/>
        <v>48</v>
      </c>
      <c r="G222" s="31">
        <f t="shared" ref="G222" si="81">IF(E222&gt;0,$G$145*F222," ")</f>
        <v>4.6560000000000006</v>
      </c>
      <c r="H222" s="31">
        <f t="shared" ref="H222" si="82">IF(B222&gt;1,($J$176/360)*K222," ")</f>
        <v>0.98466666666666669</v>
      </c>
      <c r="I222" s="27"/>
      <c r="J222" s="32">
        <f t="shared" si="61"/>
        <v>9.5302666666666678</v>
      </c>
      <c r="K222" s="33">
        <f t="shared" si="75"/>
        <v>2</v>
      </c>
      <c r="L222" s="32">
        <f t="shared" si="62"/>
        <v>4.7651333333333339</v>
      </c>
    </row>
    <row r="223" spans="1:15" s="108" customFormat="1" ht="6" customHeight="1"/>
    <row r="225" spans="1:14">
      <c r="A225" s="109" t="s">
        <v>67</v>
      </c>
      <c r="B225" s="109"/>
      <c r="C225" s="109"/>
      <c r="D225" s="109"/>
      <c r="E225" s="110" t="s">
        <v>68</v>
      </c>
      <c r="F225" s="110">
        <v>0.17399999999999999</v>
      </c>
      <c r="G225" s="109"/>
      <c r="I225" s="111" t="s">
        <v>28</v>
      </c>
      <c r="J225" s="112">
        <f>17*12</f>
        <v>204</v>
      </c>
      <c r="K225" s="109"/>
      <c r="L225" s="109"/>
    </row>
    <row r="226" spans="1:14">
      <c r="A226" s="113" t="s">
        <v>69</v>
      </c>
      <c r="B226" s="113"/>
      <c r="C226" s="113"/>
      <c r="D226" s="113"/>
      <c r="E226" s="114"/>
      <c r="F226" s="114">
        <v>0.20619999999999999</v>
      </c>
      <c r="G226" s="115">
        <f>(F226-F225)/F225</f>
        <v>0.18505747126436786</v>
      </c>
      <c r="H226" s="116" t="s">
        <v>70</v>
      </c>
      <c r="I226" s="114"/>
      <c r="J226" s="117">
        <v>214.56</v>
      </c>
      <c r="K226" s="115">
        <f>(J226-J225)/J225</f>
        <v>5.1764705882352956E-2</v>
      </c>
      <c r="L226" s="116" t="s">
        <v>70</v>
      </c>
    </row>
    <row r="227" spans="1:14">
      <c r="A227" s="113" t="s">
        <v>71</v>
      </c>
      <c r="B227" s="113"/>
      <c r="C227" s="113"/>
      <c r="D227" s="113"/>
      <c r="E227" s="114"/>
      <c r="F227" s="114">
        <v>0.2276</v>
      </c>
      <c r="G227" s="115">
        <f>(F227-F226)/F226</f>
        <v>0.10378273520853541</v>
      </c>
      <c r="H227" s="116" t="s">
        <v>70</v>
      </c>
      <c r="I227" s="114"/>
      <c r="J227" s="117">
        <v>226.68</v>
      </c>
      <c r="K227" s="115">
        <f>(J227-J226)/J226</f>
        <v>5.6487695749440736E-2</v>
      </c>
      <c r="L227" s="116" t="s">
        <v>70</v>
      </c>
    </row>
    <row r="228" spans="1:14">
      <c r="A228" s="118" t="s">
        <v>72</v>
      </c>
      <c r="B228" s="113"/>
      <c r="C228" s="113"/>
      <c r="D228" s="113"/>
      <c r="E228" s="114"/>
      <c r="F228" s="114">
        <v>0.20019999999999999</v>
      </c>
      <c r="G228" s="115">
        <f>(F228-F227)/F227</f>
        <v>-0.12038664323374344</v>
      </c>
      <c r="H228" s="116"/>
      <c r="I228" s="119"/>
      <c r="J228" s="120">
        <v>226.68</v>
      </c>
      <c r="K228" s="115">
        <f>(J228-J227)/J227</f>
        <v>0</v>
      </c>
      <c r="L228" s="121"/>
    </row>
    <row r="229" spans="1:14" ht="21">
      <c r="A229" s="122" t="s">
        <v>73</v>
      </c>
      <c r="B229" s="123" t="s">
        <v>74</v>
      </c>
      <c r="C229" s="123" t="s">
        <v>75</v>
      </c>
      <c r="D229" s="124" t="s">
        <v>76</v>
      </c>
      <c r="E229" s="123" t="s">
        <v>77</v>
      </c>
      <c r="F229" s="123" t="s">
        <v>78</v>
      </c>
      <c r="G229" s="123"/>
      <c r="H229" s="123" t="s">
        <v>12</v>
      </c>
      <c r="K229" s="125" t="s">
        <v>79</v>
      </c>
      <c r="L229" s="125"/>
    </row>
    <row r="230" spans="1:14" ht="14.25">
      <c r="A230" s="126">
        <v>44593</v>
      </c>
      <c r="B230" s="127"/>
      <c r="C230" s="128">
        <v>7068</v>
      </c>
      <c r="D230" s="129"/>
      <c r="E230" s="129"/>
      <c r="F230" s="129"/>
      <c r="G230" s="129"/>
      <c r="H230" s="129"/>
      <c r="K230" s="28">
        <v>2008</v>
      </c>
      <c r="L230" s="130"/>
    </row>
    <row r="231" spans="1:14" ht="14.25">
      <c r="A231" s="126">
        <v>44595</v>
      </c>
      <c r="B231" s="33">
        <f>IF(A231&gt;1,DAYS360(A230,A231)," ")</f>
        <v>2</v>
      </c>
      <c r="C231" s="128">
        <v>7115</v>
      </c>
      <c r="D231" s="129">
        <f>IF(C231&gt;1,(C231-C230)," ")</f>
        <v>47</v>
      </c>
      <c r="E231" s="32">
        <f t="shared" ref="E231:E246" si="83">IF(C231&gt;0,$F$225*D231," ")</f>
        <v>8.177999999999999</v>
      </c>
      <c r="F231" s="32">
        <f>IF(A231&gt;1,($J$225/360)*B231," ")</f>
        <v>1.1333333333333333</v>
      </c>
      <c r="G231" s="129"/>
      <c r="H231" s="131">
        <f t="shared" ref="H231" si="84">IF(E231&gt;=1,SUM(E231:F231),"  ")</f>
        <v>9.3113333333333319</v>
      </c>
      <c r="K231" s="33">
        <v>2009</v>
      </c>
      <c r="L231" s="130"/>
      <c r="N231">
        <f>0.174*18.51%</f>
        <v>3.2207399999999997E-2</v>
      </c>
    </row>
    <row r="232" spans="1:14" ht="14.25">
      <c r="A232" s="126">
        <v>44605</v>
      </c>
      <c r="B232" s="33">
        <f t="shared" ref="B232:B258" si="85">IF(A232&gt;1,DAYS360(A231,A232)," ")</f>
        <v>10</v>
      </c>
      <c r="C232" s="128">
        <v>7665</v>
      </c>
      <c r="D232" s="129">
        <f t="shared" ref="D232:D258" si="86">IF(C232&gt;1,(C232-C231)," ")</f>
        <v>550</v>
      </c>
      <c r="E232" s="32">
        <f t="shared" si="83"/>
        <v>95.699999999999989</v>
      </c>
      <c r="F232" s="32">
        <f t="shared" ref="F232:F246" si="87">IF(A232&gt;1,($J$225/360)*B232," ")</f>
        <v>5.6666666666666661</v>
      </c>
      <c r="G232" s="129"/>
      <c r="H232" s="131">
        <f t="shared" ref="H232:H246" si="88">IF(E232&gt;=1,SUM(E232:F232),"  ")</f>
        <v>101.36666666666666</v>
      </c>
      <c r="K232" s="28">
        <v>2010</v>
      </c>
      <c r="L232" s="130"/>
    </row>
    <row r="233" spans="1:14" ht="14.25">
      <c r="A233" s="126">
        <v>44620</v>
      </c>
      <c r="B233" s="33">
        <f t="shared" si="85"/>
        <v>15</v>
      </c>
      <c r="C233" s="128">
        <v>8340</v>
      </c>
      <c r="D233" s="129">
        <f t="shared" si="86"/>
        <v>675</v>
      </c>
      <c r="E233" s="32">
        <f t="shared" si="83"/>
        <v>117.44999999999999</v>
      </c>
      <c r="F233" s="32">
        <f t="shared" si="87"/>
        <v>8.5</v>
      </c>
      <c r="G233" s="129"/>
      <c r="H233" s="131">
        <f t="shared" si="88"/>
        <v>125.94999999999999</v>
      </c>
      <c r="K233" s="33">
        <v>2011</v>
      </c>
      <c r="L233" s="130"/>
    </row>
    <row r="234" spans="1:14" ht="14.25">
      <c r="A234" s="126">
        <v>44643</v>
      </c>
      <c r="B234" s="33">
        <f t="shared" si="85"/>
        <v>23</v>
      </c>
      <c r="C234" s="128">
        <v>9040</v>
      </c>
      <c r="D234" s="129">
        <f t="shared" si="86"/>
        <v>700</v>
      </c>
      <c r="E234" s="32">
        <f t="shared" si="83"/>
        <v>121.8</v>
      </c>
      <c r="F234" s="32">
        <f t="shared" si="87"/>
        <v>13.033333333333333</v>
      </c>
      <c r="G234" s="129"/>
      <c r="H234" s="131">
        <f t="shared" si="88"/>
        <v>134.83333333333334</v>
      </c>
      <c r="I234" s="93"/>
      <c r="K234" s="33"/>
      <c r="L234" s="130"/>
    </row>
    <row r="235" spans="1:14" ht="14.25">
      <c r="A235" s="126">
        <v>44652</v>
      </c>
      <c r="B235" s="33">
        <f t="shared" si="85"/>
        <v>8</v>
      </c>
      <c r="C235" s="128">
        <v>9256</v>
      </c>
      <c r="D235" s="129">
        <f t="shared" si="86"/>
        <v>216</v>
      </c>
      <c r="E235" s="32">
        <f t="shared" si="83"/>
        <v>37.583999999999996</v>
      </c>
      <c r="F235" s="32">
        <f t="shared" si="87"/>
        <v>4.5333333333333332</v>
      </c>
      <c r="G235" s="129"/>
      <c r="H235" s="131">
        <f t="shared" si="88"/>
        <v>42.117333333333328</v>
      </c>
      <c r="K235" s="28">
        <v>2012</v>
      </c>
      <c r="L235" s="130"/>
    </row>
    <row r="236" spans="1:14" ht="14.25">
      <c r="A236" s="126">
        <v>44682</v>
      </c>
      <c r="B236" s="33">
        <f t="shared" si="85"/>
        <v>30</v>
      </c>
      <c r="C236" s="128">
        <v>9990</v>
      </c>
      <c r="D236" s="129">
        <f t="shared" si="86"/>
        <v>734</v>
      </c>
      <c r="E236" s="32">
        <f t="shared" si="83"/>
        <v>127.71599999999999</v>
      </c>
      <c r="F236" s="32">
        <f t="shared" si="87"/>
        <v>17</v>
      </c>
      <c r="G236" s="129"/>
      <c r="H236" s="131">
        <f t="shared" si="88"/>
        <v>144.71600000000001</v>
      </c>
      <c r="K236" s="33">
        <v>2013</v>
      </c>
      <c r="L236" s="130"/>
    </row>
    <row r="237" spans="1:14" ht="14.25">
      <c r="A237" s="126">
        <v>44713</v>
      </c>
      <c r="B237" s="33">
        <f t="shared" si="85"/>
        <v>30</v>
      </c>
      <c r="C237" s="128">
        <v>10478</v>
      </c>
      <c r="D237" s="129">
        <f t="shared" si="86"/>
        <v>488</v>
      </c>
      <c r="E237" s="32">
        <f t="shared" si="83"/>
        <v>84.911999999999992</v>
      </c>
      <c r="F237" s="32">
        <f t="shared" si="87"/>
        <v>17</v>
      </c>
      <c r="G237" s="129"/>
      <c r="H237" s="131">
        <f t="shared" si="88"/>
        <v>101.91199999999999</v>
      </c>
      <c r="K237" s="28">
        <v>2014</v>
      </c>
      <c r="L237" s="130"/>
    </row>
    <row r="238" spans="1:14" ht="14.25">
      <c r="A238" s="126">
        <v>44743</v>
      </c>
      <c r="B238" s="33">
        <f t="shared" si="85"/>
        <v>30</v>
      </c>
      <c r="C238" s="128">
        <v>10946</v>
      </c>
      <c r="D238" s="129">
        <f t="shared" si="86"/>
        <v>468</v>
      </c>
      <c r="E238" s="32">
        <f t="shared" si="83"/>
        <v>81.431999999999988</v>
      </c>
      <c r="F238" s="32">
        <f t="shared" si="87"/>
        <v>17</v>
      </c>
      <c r="G238" s="129"/>
      <c r="H238" s="131">
        <f t="shared" si="88"/>
        <v>98.431999999999988</v>
      </c>
      <c r="K238" s="33">
        <v>2015</v>
      </c>
      <c r="L238" s="130"/>
    </row>
    <row r="239" spans="1:14" ht="14.25">
      <c r="A239" s="126">
        <v>44774</v>
      </c>
      <c r="B239" s="33">
        <f t="shared" si="85"/>
        <v>30</v>
      </c>
      <c r="C239" s="128">
        <v>11438</v>
      </c>
      <c r="D239" s="129">
        <f t="shared" si="86"/>
        <v>492</v>
      </c>
      <c r="E239" s="32">
        <f t="shared" si="83"/>
        <v>85.60799999999999</v>
      </c>
      <c r="F239" s="32">
        <f t="shared" si="87"/>
        <v>17</v>
      </c>
      <c r="G239" s="129"/>
      <c r="H239" s="131">
        <f t="shared" si="88"/>
        <v>102.60799999999999</v>
      </c>
      <c r="K239" s="28">
        <v>2016</v>
      </c>
      <c r="L239" s="130"/>
      <c r="N239" s="93">
        <f>SUM(H245:H254)</f>
        <v>1172.7909333333332</v>
      </c>
    </row>
    <row r="240" spans="1:14" ht="14.25">
      <c r="A240" s="126">
        <v>44805</v>
      </c>
      <c r="B240" s="33">
        <f t="shared" si="85"/>
        <v>30</v>
      </c>
      <c r="C240" s="128">
        <v>11912</v>
      </c>
      <c r="D240" s="129">
        <f t="shared" si="86"/>
        <v>474</v>
      </c>
      <c r="E240" s="32">
        <f t="shared" si="83"/>
        <v>82.475999999999999</v>
      </c>
      <c r="F240" s="32">
        <f t="shared" si="87"/>
        <v>17</v>
      </c>
      <c r="G240" s="129"/>
      <c r="H240" s="131">
        <f t="shared" si="88"/>
        <v>99.475999999999999</v>
      </c>
      <c r="K240" s="33">
        <v>2017</v>
      </c>
      <c r="L240" s="130"/>
    </row>
    <row r="241" spans="1:14">
      <c r="A241" s="126">
        <v>44849</v>
      </c>
      <c r="B241" s="33">
        <f t="shared" si="85"/>
        <v>44</v>
      </c>
      <c r="C241" s="128">
        <v>12249</v>
      </c>
      <c r="D241" s="129">
        <f t="shared" si="86"/>
        <v>337</v>
      </c>
      <c r="E241" s="32">
        <f t="shared" si="83"/>
        <v>58.637999999999998</v>
      </c>
      <c r="F241" s="32">
        <f t="shared" si="87"/>
        <v>24.933333333333334</v>
      </c>
      <c r="G241" s="129"/>
      <c r="H241" s="131">
        <f t="shared" si="88"/>
        <v>83.571333333333328</v>
      </c>
      <c r="K241" s="44">
        <v>2018</v>
      </c>
      <c r="L241" s="132">
        <f>SUMPRODUCT((YEAR(A203:A216)=2021)*(J203:J216))</f>
        <v>1666.9059333333332</v>
      </c>
    </row>
    <row r="242" spans="1:14">
      <c r="A242" s="126">
        <v>44866</v>
      </c>
      <c r="B242" s="33">
        <f t="shared" si="85"/>
        <v>16</v>
      </c>
      <c r="C242" s="128">
        <v>12496</v>
      </c>
      <c r="D242" s="129">
        <f t="shared" si="86"/>
        <v>247</v>
      </c>
      <c r="E242" s="32">
        <f t="shared" si="83"/>
        <v>42.977999999999994</v>
      </c>
      <c r="F242" s="32">
        <f t="shared" si="87"/>
        <v>9.0666666666666664</v>
      </c>
      <c r="G242" s="129"/>
      <c r="H242" s="131">
        <f t="shared" si="88"/>
        <v>52.044666666666657</v>
      </c>
      <c r="K242" s="133">
        <v>2019</v>
      </c>
      <c r="L242" s="132">
        <f>SUMPRODUCT((YEAR(A204:A217)=2021)*(J204:J217))</f>
        <v>1938.9459333333332</v>
      </c>
    </row>
    <row r="243" spans="1:14">
      <c r="A243" s="126">
        <v>44896</v>
      </c>
      <c r="B243" s="33">
        <f t="shared" si="85"/>
        <v>30</v>
      </c>
      <c r="C243" s="128">
        <v>13005</v>
      </c>
      <c r="D243" s="129">
        <f t="shared" si="86"/>
        <v>509</v>
      </c>
      <c r="E243" s="32">
        <f t="shared" si="83"/>
        <v>88.565999999999988</v>
      </c>
      <c r="F243" s="32">
        <f t="shared" si="87"/>
        <v>17</v>
      </c>
      <c r="G243" s="129"/>
      <c r="H243" s="131">
        <f t="shared" si="88"/>
        <v>105.56599999999999</v>
      </c>
      <c r="K243" s="44">
        <v>2020</v>
      </c>
      <c r="L243" s="132">
        <f>SUM(J190:J205)</f>
        <v>1769.8886000000002</v>
      </c>
      <c r="N243" s="93"/>
    </row>
    <row r="244" spans="1:14">
      <c r="A244" s="126">
        <v>44918</v>
      </c>
      <c r="B244" s="33">
        <f t="shared" si="85"/>
        <v>22</v>
      </c>
      <c r="C244" s="128">
        <v>13661</v>
      </c>
      <c r="D244" s="129">
        <f t="shared" si="86"/>
        <v>656</v>
      </c>
      <c r="E244" s="32">
        <f t="shared" si="83"/>
        <v>114.14399999999999</v>
      </c>
      <c r="F244" s="32">
        <f t="shared" si="87"/>
        <v>12.466666666666667</v>
      </c>
      <c r="G244" s="129"/>
      <c r="H244" s="131">
        <f t="shared" si="88"/>
        <v>126.61066666666666</v>
      </c>
      <c r="K244" s="133">
        <v>2021</v>
      </c>
      <c r="L244" s="132">
        <f>SUM(J206:J216)+J218+J219</f>
        <v>2163.3869999999997</v>
      </c>
      <c r="M244" t="s">
        <v>80</v>
      </c>
      <c r="N244" s="93"/>
    </row>
    <row r="245" spans="1:14">
      <c r="A245" s="126">
        <v>44927</v>
      </c>
      <c r="B245" s="33">
        <f t="shared" si="85"/>
        <v>8</v>
      </c>
      <c r="C245" s="128">
        <v>13908</v>
      </c>
      <c r="D245" s="129">
        <f t="shared" si="86"/>
        <v>247</v>
      </c>
      <c r="E245" s="32">
        <f t="shared" si="83"/>
        <v>42.977999999999994</v>
      </c>
      <c r="F245" s="32">
        <f t="shared" si="87"/>
        <v>4.5333333333333332</v>
      </c>
      <c r="G245" s="129"/>
      <c r="H245" s="131">
        <f t="shared" si="88"/>
        <v>47.511333333333326</v>
      </c>
      <c r="K245" s="44">
        <v>2022</v>
      </c>
      <c r="L245" s="132">
        <f>SUMPRODUCT((YEAR(A230:A246)=2022)*(H230:H246))</f>
        <v>1328.5153333333335</v>
      </c>
    </row>
    <row r="246" spans="1:14">
      <c r="A246" s="126">
        <v>44958</v>
      </c>
      <c r="B246" s="33">
        <f t="shared" si="85"/>
        <v>30</v>
      </c>
      <c r="C246" s="128">
        <v>14893</v>
      </c>
      <c r="D246" s="129">
        <f t="shared" si="86"/>
        <v>985</v>
      </c>
      <c r="E246" s="32">
        <f t="shared" si="83"/>
        <v>171.39</v>
      </c>
      <c r="F246" s="32">
        <f t="shared" si="87"/>
        <v>17</v>
      </c>
      <c r="G246" s="129"/>
      <c r="H246" s="131">
        <f t="shared" si="88"/>
        <v>188.39</v>
      </c>
      <c r="K246" s="133">
        <v>2023</v>
      </c>
      <c r="L246" s="132">
        <f>SUMPRODUCT((YEAR(A231:A500)=2023)*(H231:H500))</f>
        <v>1474.7547333333332</v>
      </c>
      <c r="M246" t="s">
        <v>81</v>
      </c>
      <c r="N246">
        <v>1323.09</v>
      </c>
    </row>
    <row r="247" spans="1:14">
      <c r="A247" s="126">
        <v>44986</v>
      </c>
      <c r="B247" s="33">
        <f t="shared" si="85"/>
        <v>30</v>
      </c>
      <c r="C247" s="128">
        <v>15577</v>
      </c>
      <c r="D247" s="129">
        <f t="shared" si="86"/>
        <v>684</v>
      </c>
      <c r="E247" s="32">
        <f>IF(C247&gt;0,$F$226*D247," ")</f>
        <v>141.04079999999999</v>
      </c>
      <c r="F247" s="32">
        <f>IF(A247&gt;1,($J$226/360)*B247," ")</f>
        <v>17.88</v>
      </c>
      <c r="G247" s="129"/>
      <c r="H247" s="131">
        <f t="shared" ref="H247" si="89">IF(E247&gt;=1,SUM(E247:F247),"  ")</f>
        <v>158.92079999999999</v>
      </c>
      <c r="I247" s="9"/>
      <c r="J247" s="9"/>
      <c r="K247" s="44">
        <v>2024</v>
      </c>
      <c r="L247" s="132">
        <f>SUMPRODUCT((YEAR(A232:A501)=2024)*(H232:H501))</f>
        <v>496.63839999999999</v>
      </c>
      <c r="N247" s="93"/>
    </row>
    <row r="248" spans="1:14">
      <c r="A248" s="126">
        <v>44993</v>
      </c>
      <c r="B248" s="33">
        <f t="shared" si="85"/>
        <v>7</v>
      </c>
      <c r="C248" s="128">
        <v>15761</v>
      </c>
      <c r="D248" s="129">
        <f t="shared" si="86"/>
        <v>184</v>
      </c>
      <c r="E248" s="32">
        <f t="shared" ref="E248:E255" si="90">IF(C248&gt;0,$F$226*D248," ")</f>
        <v>37.940799999999996</v>
      </c>
      <c r="F248" s="32">
        <f t="shared" ref="F248:F255" si="91">IF(A248&gt;1,($J$226/360)*B248," ")</f>
        <v>4.1719999999999997</v>
      </c>
      <c r="G248" s="129"/>
      <c r="H248" s="131">
        <f t="shared" ref="H248:H256" si="92">IF(E248&gt;=1,SUM(E248:F248),"  ")</f>
        <v>42.112799999999993</v>
      </c>
      <c r="I248" s="9"/>
      <c r="J248" s="9"/>
      <c r="K248" s="9"/>
      <c r="L248" s="9"/>
    </row>
    <row r="249" spans="1:14">
      <c r="A249" s="126">
        <v>45017</v>
      </c>
      <c r="B249" s="33">
        <f t="shared" si="85"/>
        <v>23</v>
      </c>
      <c r="C249" s="128">
        <v>16178</v>
      </c>
      <c r="D249" s="129">
        <f t="shared" si="86"/>
        <v>417</v>
      </c>
      <c r="E249" s="32">
        <f t="shared" si="90"/>
        <v>85.985399999999998</v>
      </c>
      <c r="F249" s="32">
        <f t="shared" si="91"/>
        <v>13.708</v>
      </c>
      <c r="G249" s="129"/>
      <c r="H249" s="131">
        <f t="shared" si="92"/>
        <v>99.693399999999997</v>
      </c>
      <c r="I249" s="9"/>
      <c r="J249" s="9"/>
      <c r="K249" s="9"/>
      <c r="L249" s="9"/>
    </row>
    <row r="250" spans="1:14">
      <c r="A250" s="126">
        <v>45047</v>
      </c>
      <c r="B250" s="33">
        <f t="shared" si="85"/>
        <v>30</v>
      </c>
      <c r="C250" s="128">
        <v>16828</v>
      </c>
      <c r="D250" s="129">
        <f t="shared" si="86"/>
        <v>650</v>
      </c>
      <c r="E250" s="32">
        <f t="shared" si="90"/>
        <v>134.03</v>
      </c>
      <c r="F250" s="32">
        <f t="shared" si="91"/>
        <v>17.88</v>
      </c>
      <c r="G250" s="129"/>
      <c r="H250" s="131">
        <f t="shared" si="92"/>
        <v>151.91</v>
      </c>
      <c r="I250" s="9"/>
      <c r="J250" s="9"/>
      <c r="K250" s="9"/>
      <c r="L250" s="9"/>
    </row>
    <row r="251" spans="1:14">
      <c r="A251" s="126">
        <v>45078</v>
      </c>
      <c r="B251" s="33">
        <f t="shared" si="85"/>
        <v>30</v>
      </c>
      <c r="C251" s="128">
        <v>17260</v>
      </c>
      <c r="D251" s="129">
        <f t="shared" si="86"/>
        <v>432</v>
      </c>
      <c r="E251" s="32">
        <f t="shared" si="90"/>
        <v>89.078400000000002</v>
      </c>
      <c r="F251" s="32">
        <f t="shared" si="91"/>
        <v>17.88</v>
      </c>
      <c r="G251" s="129"/>
      <c r="H251" s="131">
        <f t="shared" si="92"/>
        <v>106.9584</v>
      </c>
      <c r="I251" s="9"/>
      <c r="J251" s="9"/>
      <c r="K251" s="9"/>
      <c r="L251" s="9"/>
    </row>
    <row r="252" spans="1:14">
      <c r="A252" s="126">
        <v>45108</v>
      </c>
      <c r="B252" s="33">
        <f t="shared" si="85"/>
        <v>30</v>
      </c>
      <c r="C252" s="128">
        <v>17670</v>
      </c>
      <c r="D252" s="129">
        <f t="shared" si="86"/>
        <v>410</v>
      </c>
      <c r="E252" s="32">
        <f t="shared" si="90"/>
        <v>84.542000000000002</v>
      </c>
      <c r="F252" s="32">
        <f t="shared" si="91"/>
        <v>17.88</v>
      </c>
      <c r="G252" s="129"/>
      <c r="H252" s="131">
        <f t="shared" si="92"/>
        <v>102.422</v>
      </c>
      <c r="I252" s="9"/>
      <c r="J252" s="9"/>
      <c r="K252" s="9"/>
      <c r="L252" s="9"/>
    </row>
    <row r="253" spans="1:14">
      <c r="A253" s="126">
        <v>45139</v>
      </c>
      <c r="B253" s="33">
        <f t="shared" si="85"/>
        <v>30</v>
      </c>
      <c r="C253" s="128">
        <v>18173</v>
      </c>
      <c r="D253" s="129">
        <f t="shared" si="86"/>
        <v>503</v>
      </c>
      <c r="E253" s="32">
        <f t="shared" si="90"/>
        <v>103.7186</v>
      </c>
      <c r="F253" s="32">
        <f>IF(A253&gt;1,($J$227/360)*B253," ")</f>
        <v>18.89</v>
      </c>
      <c r="G253" s="129"/>
      <c r="H253" s="131">
        <f t="shared" si="92"/>
        <v>122.6086</v>
      </c>
      <c r="I253" s="9"/>
      <c r="J253" s="9"/>
      <c r="K253" s="9"/>
      <c r="L253" s="9"/>
    </row>
    <row r="254" spans="1:14">
      <c r="A254" s="126">
        <v>45170</v>
      </c>
      <c r="B254" s="33">
        <f t="shared" si="85"/>
        <v>30</v>
      </c>
      <c r="C254" s="128">
        <v>18759</v>
      </c>
      <c r="D254" s="129">
        <f t="shared" si="86"/>
        <v>586</v>
      </c>
      <c r="E254" s="32">
        <f>IF(C254&gt;0,$F$227*D254," ")</f>
        <v>133.37360000000001</v>
      </c>
      <c r="F254" s="32">
        <f>IF(A254&gt;1,($J$227/360)*B254," ")</f>
        <v>18.89</v>
      </c>
      <c r="G254" s="129"/>
      <c r="H254" s="131">
        <f t="shared" si="92"/>
        <v>152.2636</v>
      </c>
      <c r="I254" s="9"/>
      <c r="J254" s="9"/>
      <c r="K254" s="9"/>
      <c r="L254" s="9"/>
    </row>
    <row r="255" spans="1:14">
      <c r="A255" s="126">
        <v>45231</v>
      </c>
      <c r="B255" s="33">
        <f t="shared" si="85"/>
        <v>60</v>
      </c>
      <c r="C255" s="128">
        <v>19304</v>
      </c>
      <c r="D255" s="129">
        <f t="shared" si="86"/>
        <v>545</v>
      </c>
      <c r="E255" s="32">
        <f t="shared" si="90"/>
        <v>112.37899999999999</v>
      </c>
      <c r="F255" s="32">
        <f t="shared" si="91"/>
        <v>35.76</v>
      </c>
      <c r="G255" s="129"/>
      <c r="H255" s="131">
        <f t="shared" si="92"/>
        <v>148.13899999999998</v>
      </c>
      <c r="I255" s="9"/>
      <c r="J255" s="9"/>
      <c r="K255" s="9"/>
      <c r="L255" s="9"/>
    </row>
    <row r="256" spans="1:14">
      <c r="A256" s="126">
        <v>45261</v>
      </c>
      <c r="B256" s="33">
        <f t="shared" si="85"/>
        <v>30</v>
      </c>
      <c r="C256" s="128">
        <v>19978</v>
      </c>
      <c r="D256" s="129">
        <f t="shared" si="86"/>
        <v>674</v>
      </c>
      <c r="E256" s="32">
        <f>IF(C256&gt;0,$F$228*D256," ")</f>
        <v>134.9348</v>
      </c>
      <c r="F256" s="32">
        <f>IF(A256&gt;1,($J$228/360)*B256," ")</f>
        <v>18.89</v>
      </c>
      <c r="G256" s="129"/>
      <c r="H256" s="131">
        <f t="shared" si="92"/>
        <v>153.82479999999998</v>
      </c>
      <c r="I256" s="9"/>
      <c r="J256" s="9"/>
      <c r="K256" s="9"/>
      <c r="L256" s="9"/>
    </row>
    <row r="257" spans="1:12">
      <c r="A257" s="134">
        <v>45292</v>
      </c>
      <c r="B257" s="33">
        <f t="shared" si="85"/>
        <v>30</v>
      </c>
      <c r="C257" s="28">
        <v>20913</v>
      </c>
      <c r="D257" s="129">
        <f t="shared" si="86"/>
        <v>935</v>
      </c>
      <c r="E257" s="32">
        <f>IF(C257&gt;0,$F$228*D257," ")</f>
        <v>187.18699999999998</v>
      </c>
      <c r="F257" s="32">
        <f>IF(A257&gt;1,($J$228/360)*B257," ")</f>
        <v>18.89</v>
      </c>
      <c r="G257" s="129"/>
      <c r="H257" s="131">
        <f t="shared" ref="H257:H258" si="93">IF(E257&gt;=1,SUM(E257:F257),"  ")</f>
        <v>206.077</v>
      </c>
      <c r="I257" s="9"/>
      <c r="J257" s="9"/>
      <c r="K257" s="9"/>
      <c r="L257" s="9"/>
    </row>
    <row r="258" spans="1:12">
      <c r="A258" s="134">
        <v>45323</v>
      </c>
      <c r="B258" s="33">
        <f t="shared" si="85"/>
        <v>30</v>
      </c>
      <c r="C258" s="28">
        <v>22270</v>
      </c>
      <c r="D258" s="28">
        <f t="shared" si="86"/>
        <v>1357</v>
      </c>
      <c r="E258" s="32">
        <f>IF(C258&gt;0,$F$228*D258," ")</f>
        <v>271.67140000000001</v>
      </c>
      <c r="F258" s="32">
        <f>IF(A258&gt;1,($J$228/360)*B258," ")</f>
        <v>18.89</v>
      </c>
      <c r="G258" s="28"/>
      <c r="H258" s="32">
        <f t="shared" si="93"/>
        <v>290.56139999999999</v>
      </c>
      <c r="I258" s="9"/>
      <c r="J258" s="9"/>
      <c r="K258" s="9"/>
      <c r="L258" s="9"/>
    </row>
    <row r="259" spans="1:12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</row>
  </sheetData>
  <mergeCells count="22">
    <mergeCell ref="B187:C187"/>
    <mergeCell ref="B217:C217"/>
    <mergeCell ref="K229:L229"/>
    <mergeCell ref="P155:Q155"/>
    <mergeCell ref="N156:O156"/>
    <mergeCell ref="P156:Q156"/>
    <mergeCell ref="N157:O158"/>
    <mergeCell ref="P157:Q157"/>
    <mergeCell ref="B176:C176"/>
    <mergeCell ref="M125:O125"/>
    <mergeCell ref="M126:O126"/>
    <mergeCell ref="M127:O127"/>
    <mergeCell ref="M139:N139"/>
    <mergeCell ref="B145:C145"/>
    <mergeCell ref="K145:N145"/>
    <mergeCell ref="A1:L1"/>
    <mergeCell ref="M95:N95"/>
    <mergeCell ref="B96:C96"/>
    <mergeCell ref="M98:N99"/>
    <mergeCell ref="B110:C110"/>
    <mergeCell ref="B124:C124"/>
    <mergeCell ref="K124:N124"/>
  </mergeCells>
  <pageMargins left="0.15748031496062992" right="0.19685039370078741" top="0.98425196850393704" bottom="0.98425196850393704" header="0.51181102362204722" footer="0.51181102362204722"/>
  <pageSetup paperSize="9" orientation="landscape" r:id="rId1"/>
  <headerFooter alignWithMargins="0">
    <oddFooter>&amp;L&amp;Z&amp;F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9145D-D057-4E01-B50F-345D8AFD79C6}">
  <sheetPr>
    <tabColor rgb="FFFFC000"/>
  </sheetPr>
  <dimension ref="A1:N29"/>
  <sheetViews>
    <sheetView workbookViewId="0">
      <selection activeCell="M95" sqref="M95:N95"/>
    </sheetView>
  </sheetViews>
  <sheetFormatPr baseColWidth="10" defaultRowHeight="12.75"/>
  <cols>
    <col min="2" max="2" width="18" customWidth="1"/>
  </cols>
  <sheetData>
    <row r="1" spans="1:14" ht="16.5" thickBot="1">
      <c r="A1" s="135" t="s">
        <v>82</v>
      </c>
      <c r="B1" s="136"/>
      <c r="C1" s="136"/>
      <c r="D1" s="136"/>
      <c r="E1" s="136"/>
      <c r="F1" s="137"/>
    </row>
    <row r="5" spans="1:14" ht="38.25">
      <c r="A5" s="9"/>
      <c r="B5" s="114" t="s">
        <v>83</v>
      </c>
      <c r="C5" s="28" t="s">
        <v>84</v>
      </c>
      <c r="D5" s="28" t="s">
        <v>85</v>
      </c>
      <c r="E5" s="138" t="s">
        <v>86</v>
      </c>
      <c r="F5" s="28" t="s">
        <v>85</v>
      </c>
      <c r="G5" s="29"/>
      <c r="H5" s="29"/>
      <c r="I5" s="29"/>
      <c r="J5" s="29"/>
      <c r="K5" s="29"/>
      <c r="L5" s="29"/>
      <c r="M5" s="29"/>
      <c r="N5" s="29"/>
    </row>
    <row r="6" spans="1:14" s="29" customFormat="1" ht="21.75" customHeight="1">
      <c r="A6" s="28" t="s">
        <v>87</v>
      </c>
      <c r="B6" s="134">
        <v>44958</v>
      </c>
      <c r="C6" s="28">
        <v>0.20619999999999999</v>
      </c>
      <c r="D6" s="28"/>
      <c r="E6" s="28">
        <v>214.56</v>
      </c>
      <c r="F6" s="28"/>
    </row>
    <row r="7" spans="1:14" s="29" customFormat="1" ht="21.75" customHeight="1">
      <c r="A7" s="28" t="s">
        <v>87</v>
      </c>
      <c r="B7" s="134">
        <v>44958</v>
      </c>
      <c r="C7" s="28">
        <v>0.2276</v>
      </c>
      <c r="D7" s="139">
        <f>(C7-C6)/C6</f>
        <v>0.10378273520853541</v>
      </c>
      <c r="E7" s="28">
        <v>226.68</v>
      </c>
      <c r="F7" s="139">
        <f>(E7-E6)/E6</f>
        <v>5.6487695749440736E-2</v>
      </c>
    </row>
    <row r="8" spans="1:14" s="29" customFormat="1" ht="21.75" customHeight="1">
      <c r="A8" s="28" t="s">
        <v>88</v>
      </c>
      <c r="B8" s="134">
        <v>45231</v>
      </c>
      <c r="C8" s="28">
        <v>0.20019999999999999</v>
      </c>
      <c r="D8" s="139">
        <f>(C8-C7)/C7</f>
        <v>-0.12038664323374344</v>
      </c>
      <c r="E8" s="28">
        <v>226.68</v>
      </c>
      <c r="F8" s="139">
        <f>IF(E8&gt;1,(E8-E7)/E7," ")</f>
        <v>0</v>
      </c>
    </row>
    <row r="9" spans="1:14" s="29" customFormat="1" ht="21.75" customHeight="1">
      <c r="A9" s="28" t="s">
        <v>88</v>
      </c>
      <c r="B9" s="134">
        <v>45323</v>
      </c>
      <c r="C9" s="28">
        <v>0.20499999999999999</v>
      </c>
      <c r="D9" s="139">
        <f>IF(C9&gt;0.01,(C9-C8)/C8," ")</f>
        <v>2.3976023976023973E-2</v>
      </c>
      <c r="E9" s="28">
        <v>226.68</v>
      </c>
      <c r="F9" s="139">
        <f t="shared" ref="F9:F23" si="0">IF(E9&gt;1,(E9-E8)/E8," ")</f>
        <v>0</v>
      </c>
    </row>
    <row r="10" spans="1:14" s="29" customFormat="1" ht="21.75" customHeight="1">
      <c r="A10" s="28"/>
      <c r="B10" s="134"/>
      <c r="C10" s="28"/>
      <c r="D10" s="139" t="str">
        <f t="shared" ref="D10:D23" si="1">IF(C10&gt;0.01,(C10-C9)/C9," ")</f>
        <v xml:space="preserve"> </v>
      </c>
      <c r="E10" s="28"/>
      <c r="F10" s="139" t="str">
        <f t="shared" si="0"/>
        <v xml:space="preserve"> </v>
      </c>
    </row>
    <row r="11" spans="1:14" s="29" customFormat="1" ht="21.75" customHeight="1">
      <c r="A11" s="28"/>
      <c r="B11" s="134"/>
      <c r="C11" s="28"/>
      <c r="D11" s="139" t="str">
        <f t="shared" si="1"/>
        <v xml:space="preserve"> </v>
      </c>
      <c r="E11" s="28"/>
      <c r="F11" s="139" t="str">
        <f t="shared" si="0"/>
        <v xml:space="preserve"> </v>
      </c>
    </row>
    <row r="12" spans="1:14" s="29" customFormat="1" ht="21.75" customHeight="1">
      <c r="A12" s="28"/>
      <c r="B12" s="134"/>
      <c r="C12" s="28"/>
      <c r="D12" s="139" t="str">
        <f t="shared" si="1"/>
        <v xml:space="preserve"> </v>
      </c>
      <c r="E12" s="28"/>
      <c r="F12" s="139" t="str">
        <f t="shared" si="0"/>
        <v xml:space="preserve"> </v>
      </c>
    </row>
    <row r="13" spans="1:14" s="29" customFormat="1" ht="21.75" customHeight="1">
      <c r="A13" s="28"/>
      <c r="B13" s="134"/>
      <c r="C13" s="28"/>
      <c r="D13" s="139" t="str">
        <f t="shared" si="1"/>
        <v xml:space="preserve"> </v>
      </c>
      <c r="E13" s="28"/>
      <c r="F13" s="139" t="str">
        <f t="shared" si="0"/>
        <v xml:space="preserve"> </v>
      </c>
    </row>
    <row r="14" spans="1:14" s="29" customFormat="1" ht="21.75" customHeight="1">
      <c r="A14" s="28"/>
      <c r="B14" s="134"/>
      <c r="C14" s="28"/>
      <c r="D14" s="139" t="str">
        <f t="shared" si="1"/>
        <v xml:space="preserve"> </v>
      </c>
      <c r="E14" s="28"/>
      <c r="F14" s="139" t="str">
        <f t="shared" si="0"/>
        <v xml:space="preserve"> </v>
      </c>
    </row>
    <row r="15" spans="1:14" s="29" customFormat="1" ht="21.75" customHeight="1">
      <c r="A15" s="28"/>
      <c r="B15" s="134"/>
      <c r="C15" s="28"/>
      <c r="D15" s="139" t="str">
        <f t="shared" si="1"/>
        <v xml:space="preserve"> </v>
      </c>
      <c r="E15" s="28"/>
      <c r="F15" s="139" t="str">
        <f t="shared" si="0"/>
        <v xml:space="preserve"> </v>
      </c>
    </row>
    <row r="16" spans="1:14" s="29" customFormat="1" ht="21.75" customHeight="1">
      <c r="A16" s="28"/>
      <c r="B16" s="134"/>
      <c r="C16" s="28"/>
      <c r="D16" s="139" t="str">
        <f t="shared" si="1"/>
        <v xml:space="preserve"> </v>
      </c>
      <c r="E16" s="28"/>
      <c r="F16" s="139" t="str">
        <f t="shared" si="0"/>
        <v xml:space="preserve"> </v>
      </c>
    </row>
    <row r="17" spans="1:6" s="29" customFormat="1" ht="21.75" customHeight="1">
      <c r="A17" s="28"/>
      <c r="B17" s="28"/>
      <c r="C17" s="28"/>
      <c r="D17" s="139" t="str">
        <f t="shared" si="1"/>
        <v xml:space="preserve"> </v>
      </c>
      <c r="E17" s="28"/>
      <c r="F17" s="139" t="str">
        <f t="shared" si="0"/>
        <v xml:space="preserve"> </v>
      </c>
    </row>
    <row r="18" spans="1:6" s="29" customFormat="1" ht="21.75" customHeight="1">
      <c r="A18" s="28"/>
      <c r="B18" s="28"/>
      <c r="C18" s="28"/>
      <c r="D18" s="139" t="str">
        <f t="shared" si="1"/>
        <v xml:space="preserve"> </v>
      </c>
      <c r="E18" s="28"/>
      <c r="F18" s="139" t="str">
        <f t="shared" si="0"/>
        <v xml:space="preserve"> </v>
      </c>
    </row>
    <row r="19" spans="1:6" s="29" customFormat="1" ht="21.75" customHeight="1">
      <c r="A19" s="28"/>
      <c r="B19" s="28"/>
      <c r="C19" s="28"/>
      <c r="D19" s="139" t="str">
        <f t="shared" si="1"/>
        <v xml:space="preserve"> </v>
      </c>
      <c r="E19" s="28"/>
      <c r="F19" s="139" t="str">
        <f t="shared" si="0"/>
        <v xml:space="preserve"> </v>
      </c>
    </row>
    <row r="20" spans="1:6" s="29" customFormat="1" ht="21.75" customHeight="1">
      <c r="A20" s="28"/>
      <c r="B20" s="28"/>
      <c r="C20" s="28"/>
      <c r="D20" s="139" t="str">
        <f t="shared" si="1"/>
        <v xml:space="preserve"> </v>
      </c>
      <c r="E20" s="28"/>
      <c r="F20" s="139" t="str">
        <f t="shared" si="0"/>
        <v xml:space="preserve"> </v>
      </c>
    </row>
    <row r="21" spans="1:6" s="29" customFormat="1" ht="21.75" customHeight="1">
      <c r="A21" s="28"/>
      <c r="B21" s="28"/>
      <c r="C21" s="28"/>
      <c r="D21" s="139" t="str">
        <f t="shared" si="1"/>
        <v xml:space="preserve"> </v>
      </c>
      <c r="E21" s="28"/>
      <c r="F21" s="139" t="str">
        <f t="shared" si="0"/>
        <v xml:space="preserve"> </v>
      </c>
    </row>
    <row r="22" spans="1:6" s="29" customFormat="1" ht="21.75" customHeight="1">
      <c r="A22" s="28"/>
      <c r="B22" s="28"/>
      <c r="C22" s="28"/>
      <c r="D22" s="139" t="str">
        <f t="shared" si="1"/>
        <v xml:space="preserve"> </v>
      </c>
      <c r="E22" s="28"/>
      <c r="F22" s="139" t="str">
        <f t="shared" si="0"/>
        <v xml:space="preserve"> </v>
      </c>
    </row>
    <row r="23" spans="1:6" s="29" customFormat="1" ht="21.75" customHeight="1">
      <c r="A23" s="28"/>
      <c r="B23" s="28"/>
      <c r="C23" s="28"/>
      <c r="D23" s="139" t="str">
        <f t="shared" si="1"/>
        <v xml:space="preserve"> </v>
      </c>
      <c r="E23" s="28"/>
      <c r="F23" s="139" t="str">
        <f t="shared" si="0"/>
        <v xml:space="preserve"> </v>
      </c>
    </row>
    <row r="24" spans="1:6" s="29" customFormat="1" ht="21.75" customHeight="1">
      <c r="A24" s="28"/>
      <c r="B24" s="28"/>
      <c r="C24" s="28"/>
      <c r="D24" s="28"/>
      <c r="E24" s="28"/>
      <c r="F24" s="28"/>
    </row>
    <row r="25" spans="1:6" s="29" customFormat="1" ht="21.75" customHeight="1">
      <c r="A25" s="28"/>
      <c r="B25" s="28"/>
      <c r="C25" s="28"/>
      <c r="D25" s="28"/>
      <c r="E25" s="28"/>
      <c r="F25" s="28"/>
    </row>
    <row r="26" spans="1:6" s="29" customFormat="1" ht="21.75" customHeight="1">
      <c r="A26" s="28"/>
      <c r="B26" s="28"/>
      <c r="C26" s="28"/>
      <c r="D26" s="28"/>
      <c r="E26" s="28"/>
      <c r="F26" s="28"/>
    </row>
    <row r="27" spans="1:6" s="29" customFormat="1" ht="21.75" customHeight="1">
      <c r="A27" s="28"/>
      <c r="B27" s="28"/>
      <c r="C27" s="28"/>
      <c r="D27" s="28"/>
      <c r="E27" s="28"/>
      <c r="F27" s="28"/>
    </row>
    <row r="28" spans="1:6" s="29" customFormat="1" ht="21.75" customHeight="1">
      <c r="A28" s="28"/>
      <c r="B28" s="28"/>
      <c r="C28" s="28"/>
      <c r="D28" s="28"/>
      <c r="E28" s="28"/>
      <c r="F28" s="28"/>
    </row>
    <row r="29" spans="1:6" s="29" customFormat="1" ht="21.75" customHeight="1">
      <c r="A29" s="28"/>
      <c r="B29" s="28"/>
      <c r="C29" s="28"/>
      <c r="D29" s="28"/>
      <c r="E29" s="28"/>
      <c r="F29" s="28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EDF</vt:lpstr>
      <vt:lpstr>Tarifs elect</vt:lpstr>
      <vt:lpstr>EDF!Zone_d_impression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ARBEZ</dc:creator>
  <cp:lastModifiedBy>BERNARD ARBEZ</cp:lastModifiedBy>
  <dcterms:created xsi:type="dcterms:W3CDTF">2024-02-03T12:49:48Z</dcterms:created>
  <dcterms:modified xsi:type="dcterms:W3CDTF">2024-02-03T12:50:32Z</dcterms:modified>
</cp:coreProperties>
</file>