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600" windowHeight="6900" tabRatio="601"/>
  </bookViews>
  <sheets>
    <sheet name="CALCULATEUR" sheetId="1" r:id="rId1"/>
    <sheet name="SPEED CURVES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I22" i="1" l="1"/>
  <c r="AI21" i="1"/>
  <c r="AI20" i="1"/>
  <c r="AI19" i="1"/>
  <c r="AI18" i="1"/>
  <c r="AI17" i="1"/>
  <c r="AI16" i="1"/>
  <c r="AI15" i="1"/>
  <c r="AI14" i="1"/>
  <c r="AI13" i="1"/>
  <c r="AI12" i="1"/>
  <c r="AI11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Y22" i="1"/>
  <c r="Y21" i="1"/>
  <c r="Y20" i="1"/>
  <c r="Y19" i="1"/>
  <c r="Y18" i="1"/>
  <c r="Y17" i="1"/>
  <c r="Y16" i="1"/>
  <c r="Y15" i="1"/>
  <c r="Y14" i="1"/>
  <c r="Y13" i="1"/>
  <c r="Y12" i="1"/>
  <c r="Y11" i="1"/>
  <c r="X22" i="1"/>
  <c r="X21" i="1"/>
  <c r="X20" i="1"/>
  <c r="X19" i="1"/>
  <c r="X18" i="1"/>
  <c r="X17" i="1"/>
  <c r="X16" i="1"/>
  <c r="X15" i="1"/>
  <c r="X14" i="1"/>
  <c r="X13" i="1"/>
  <c r="X12" i="1"/>
  <c r="X11" i="1"/>
  <c r="W22" i="1"/>
  <c r="W21" i="1"/>
  <c r="W20" i="1"/>
  <c r="W19" i="1"/>
  <c r="W18" i="1"/>
  <c r="W17" i="1"/>
  <c r="W16" i="1"/>
  <c r="W15" i="1"/>
  <c r="W14" i="1"/>
  <c r="W13" i="1"/>
  <c r="W12" i="1"/>
  <c r="W11" i="1"/>
  <c r="V22" i="1"/>
  <c r="V21" i="1"/>
  <c r="V20" i="1"/>
  <c r="V19" i="1"/>
  <c r="V18" i="1"/>
  <c r="V17" i="1"/>
  <c r="V16" i="1"/>
  <c r="V15" i="1"/>
  <c r="V14" i="1"/>
  <c r="V13" i="1"/>
  <c r="V12" i="1"/>
  <c r="V11" i="1"/>
  <c r="U22" i="1"/>
  <c r="U21" i="1"/>
  <c r="U20" i="1"/>
  <c r="U19" i="1"/>
  <c r="U18" i="1"/>
  <c r="U17" i="1"/>
  <c r="U16" i="1"/>
  <c r="U15" i="1"/>
  <c r="U14" i="1"/>
  <c r="U13" i="1"/>
  <c r="U12" i="1"/>
  <c r="U11" i="1"/>
  <c r="T22" i="1"/>
  <c r="T21" i="1"/>
  <c r="T20" i="1"/>
  <c r="T19" i="1"/>
  <c r="T18" i="1"/>
  <c r="T17" i="1"/>
  <c r="T16" i="1"/>
  <c r="T15" i="1"/>
  <c r="T14" i="1"/>
  <c r="T13" i="1"/>
  <c r="T12" i="1"/>
  <c r="T11" i="1"/>
  <c r="S22" i="1"/>
  <c r="S21" i="1"/>
  <c r="S20" i="1"/>
  <c r="S19" i="1"/>
  <c r="S18" i="1"/>
  <c r="S17" i="1"/>
  <c r="S16" i="1"/>
  <c r="S15" i="1"/>
  <c r="S14" i="1"/>
  <c r="S13" i="1"/>
  <c r="S12" i="1"/>
  <c r="S11" i="1"/>
  <c r="R22" i="1"/>
  <c r="R21" i="1"/>
  <c r="R20" i="1"/>
  <c r="R19" i="1"/>
  <c r="R18" i="1"/>
  <c r="R17" i="1"/>
  <c r="R16" i="1"/>
  <c r="R15" i="1"/>
  <c r="R14" i="1"/>
  <c r="R13" i="1"/>
  <c r="R12" i="1"/>
  <c r="R11" i="1"/>
  <c r="Q22" i="1"/>
  <c r="Q21" i="1"/>
  <c r="Q20" i="1"/>
  <c r="Q19" i="1"/>
  <c r="Q18" i="1"/>
  <c r="Q17" i="1"/>
  <c r="Q16" i="1"/>
  <c r="Q15" i="1"/>
  <c r="Q14" i="1"/>
  <c r="Q13" i="1"/>
  <c r="Q12" i="1"/>
  <c r="Q11" i="1"/>
  <c r="P22" i="1"/>
  <c r="P21" i="1"/>
  <c r="P20" i="1"/>
  <c r="P19" i="1"/>
  <c r="P18" i="1"/>
  <c r="P17" i="1"/>
  <c r="P16" i="1"/>
  <c r="P15" i="1"/>
  <c r="P14" i="1"/>
  <c r="P13" i="1"/>
  <c r="P12" i="1"/>
  <c r="P11" i="1"/>
  <c r="O22" i="1"/>
  <c r="O21" i="1"/>
  <c r="O20" i="1"/>
  <c r="O19" i="1"/>
  <c r="O18" i="1"/>
  <c r="O17" i="1"/>
  <c r="O16" i="1"/>
  <c r="O15" i="1"/>
  <c r="O14" i="1"/>
  <c r="O13" i="1"/>
  <c r="O12" i="1"/>
  <c r="O11" i="1"/>
  <c r="N22" i="1"/>
  <c r="N21" i="1"/>
  <c r="N20" i="1"/>
  <c r="N19" i="1"/>
  <c r="N18" i="1"/>
  <c r="N17" i="1"/>
  <c r="N16" i="1"/>
  <c r="N15" i="1"/>
  <c r="N14" i="1"/>
  <c r="N13" i="1"/>
  <c r="N12" i="1"/>
  <c r="N11" i="1"/>
  <c r="M22" i="1"/>
  <c r="M21" i="1"/>
  <c r="M20" i="1"/>
  <c r="M19" i="1"/>
  <c r="M18" i="1"/>
  <c r="M17" i="1"/>
  <c r="M16" i="1"/>
  <c r="M15" i="1"/>
  <c r="M14" i="1"/>
  <c r="M13" i="1"/>
  <c r="M12" i="1"/>
  <c r="M11" i="1"/>
  <c r="L22" i="1"/>
  <c r="L21" i="1"/>
  <c r="L20" i="1"/>
  <c r="L19" i="1"/>
  <c r="L18" i="1"/>
  <c r="L17" i="1"/>
  <c r="L16" i="1"/>
  <c r="L15" i="1"/>
  <c r="L14" i="1"/>
  <c r="L13" i="1"/>
  <c r="L12" i="1"/>
  <c r="L11" i="1"/>
  <c r="K22" i="1"/>
  <c r="K21" i="1"/>
  <c r="K20" i="1"/>
  <c r="K19" i="1"/>
  <c r="K18" i="1"/>
  <c r="K17" i="1"/>
  <c r="K16" i="1"/>
  <c r="K15" i="1"/>
  <c r="K14" i="1"/>
  <c r="K13" i="1"/>
  <c r="K12" i="1"/>
  <c r="K11" i="1"/>
  <c r="AE10" i="1"/>
  <c r="AF10" i="1"/>
  <c r="K10" i="1"/>
  <c r="AJ22" i="1"/>
  <c r="AJ21" i="1"/>
  <c r="AJ20" i="1"/>
  <c r="AJ19" i="1"/>
  <c r="AJ18" i="1"/>
  <c r="AJ17" i="1"/>
  <c r="AJ16" i="1"/>
  <c r="AJ15" i="1"/>
  <c r="AJ14" i="1"/>
  <c r="AJ13" i="1"/>
  <c r="AJ12" i="1"/>
  <c r="S10" i="1"/>
  <c r="AA10" i="1"/>
  <c r="AI10" i="1"/>
  <c r="AJ10" i="1"/>
  <c r="P10" i="1"/>
  <c r="W10" i="1"/>
  <c r="X10" i="1"/>
  <c r="M10" i="1"/>
  <c r="Y10" i="1"/>
  <c r="Q10" i="1"/>
  <c r="R10" i="1"/>
  <c r="L10" i="1"/>
  <c r="V10" i="1"/>
  <c r="U10" i="1"/>
  <c r="N10" i="1"/>
  <c r="O10" i="1"/>
  <c r="T10" i="1"/>
  <c r="D50" i="2"/>
  <c r="D40" i="2"/>
  <c r="D47" i="2"/>
  <c r="D46" i="2"/>
  <c r="D39" i="2"/>
  <c r="D43" i="2"/>
  <c r="D49" i="2"/>
  <c r="D48" i="2"/>
  <c r="D45" i="2"/>
  <c r="D44" i="2"/>
  <c r="D42" i="2"/>
  <c r="D41" i="2"/>
  <c r="D38" i="2"/>
</calcChain>
</file>

<file path=xl/comments1.xml><?xml version="1.0" encoding="utf-8"?>
<comments xmlns="http://schemas.openxmlformats.org/spreadsheetml/2006/main">
  <authors>
    <author>T500</author>
  </authors>
  <commentList>
    <comment ref="AB7" authorId="0" shapeId="0">
      <text>
        <r>
          <rPr>
            <b/>
            <sz val="9"/>
            <color indexed="81"/>
            <rFont val="Tahoma"/>
            <family val="2"/>
          </rPr>
          <t xml:space="preserve">KNOTS
</t>
        </r>
      </text>
    </comment>
    <comment ref="AD7" authorId="0" shapeId="0">
      <text>
        <r>
          <rPr>
            <b/>
            <sz val="9"/>
            <color indexed="81"/>
            <rFont val="Tahoma"/>
            <family val="2"/>
          </rPr>
          <t>BEAUFORT SCALE</t>
        </r>
      </text>
    </comment>
    <comment ref="AF7" authorId="0" shapeId="0">
      <text>
        <r>
          <rPr>
            <b/>
            <sz val="9"/>
            <color indexed="81"/>
            <rFont val="Tahoma"/>
            <family val="2"/>
          </rPr>
          <t>Vitesse après correction pour le vent.</t>
        </r>
      </text>
    </comment>
    <comment ref="AH7" authorId="0" shapeId="0">
      <text>
        <r>
          <rPr>
            <b/>
            <sz val="9"/>
            <color indexed="81"/>
            <rFont val="Tahoma"/>
            <family val="2"/>
          </rPr>
          <t>KNOTS</t>
        </r>
      </text>
    </comment>
    <comment ref="AI7" authorId="0" shapeId="0">
      <text>
        <r>
          <rPr>
            <b/>
            <sz val="9"/>
            <color indexed="81"/>
            <rFont val="Tahoma"/>
            <family val="2"/>
          </rPr>
          <t>KNOTS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Latitude (Degrés:Minutes:Secondes)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Longitude: (Degrés:Minutes:Secondes)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" authorId="0" shapeId="0">
      <text>
        <r>
          <rPr>
            <b/>
            <sz val="9"/>
            <color indexed="81"/>
            <rFont val="Tahoma"/>
            <family val="2"/>
          </rPr>
          <t>MILLES NAUTIQUES</t>
        </r>
      </text>
    </comment>
  </commentList>
</comments>
</file>

<file path=xl/sharedStrings.xml><?xml version="1.0" encoding="utf-8"?>
<sst xmlns="http://schemas.openxmlformats.org/spreadsheetml/2006/main" count="114" uniqueCount="45">
  <si>
    <t>Distance</t>
  </si>
  <si>
    <t>Ortho</t>
  </si>
  <si>
    <t>Loxo</t>
  </si>
  <si>
    <t>Mercator</t>
  </si>
  <si>
    <t>Plane</t>
  </si>
  <si>
    <t>Latitude</t>
  </si>
  <si>
    <t>Longitude</t>
  </si>
  <si>
    <t>Meridional Parts</t>
  </si>
  <si>
    <t>⁰</t>
  </si>
  <si>
    <t>'</t>
  </si>
  <si>
    <t>''</t>
  </si>
  <si>
    <t>N</t>
  </si>
  <si>
    <t>N/S</t>
  </si>
  <si>
    <t>E/W</t>
  </si>
  <si>
    <t>Waypoints</t>
  </si>
  <si>
    <t>DMP</t>
  </si>
  <si>
    <t>Radians</t>
  </si>
  <si>
    <t>Degrés</t>
  </si>
  <si>
    <t>NM</t>
  </si>
  <si>
    <t>ANGLE C</t>
  </si>
  <si>
    <t>W</t>
  </si>
  <si>
    <t>Lat Moy.</t>
  </si>
  <si>
    <t>Dep.</t>
  </si>
  <si>
    <t>ANGLE.C</t>
  </si>
  <si>
    <t>Force</t>
  </si>
  <si>
    <t>BEAM</t>
  </si>
  <si>
    <t>Beam Seas</t>
  </si>
  <si>
    <t>Following Seas</t>
  </si>
  <si>
    <t>Head Seas</t>
  </si>
  <si>
    <t>Wave height (ft.)</t>
  </si>
  <si>
    <t>Ship speed (Knots)</t>
  </si>
  <si>
    <t>Beaufort Wind Force</t>
  </si>
  <si>
    <t>Mean wind Speed in knots</t>
  </si>
  <si>
    <t>Probable height of waves (m)</t>
  </si>
  <si>
    <t>Probable height of waves (ft)</t>
  </si>
  <si>
    <t>ETA</t>
  </si>
  <si>
    <t>Current</t>
  </si>
  <si>
    <t>Wind</t>
  </si>
  <si>
    <t>Speed</t>
  </si>
  <si>
    <t>Criteria</t>
  </si>
  <si>
    <t>Probable Height of waves</t>
  </si>
  <si>
    <t>HEAD</t>
  </si>
  <si>
    <t>DLAT</t>
  </si>
  <si>
    <t>DLONG</t>
  </si>
  <si>
    <t>FOLLOW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</si>
</sst>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dd\ &quot;days&quot;\ hh&quot;h&quot;:mm&quot;m&quot;:ss&quot;s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/>
      <top style="medium">
        <color auto="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medium">
        <color auto="1"/>
      </right>
      <top style="thin">
        <color theme="4" tint="0.39997558519241921"/>
      </top>
      <bottom style="thin">
        <color theme="4" tint="0.39997558519241921"/>
      </bottom>
      <diagonal/>
    </border>
  </borders>
  <cellStyleXfs count="11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0" borderId="4" xfId="0" quotePrefix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Fill="1"/>
    <xf numFmtId="0" fontId="0" fillId="0" borderId="17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22" xfId="0" applyBorder="1"/>
    <xf numFmtId="0" fontId="0" fillId="0" borderId="22" xfId="0" applyFill="1" applyBorder="1"/>
    <xf numFmtId="164" fontId="5" fillId="0" borderId="6" xfId="0" applyNumberFormat="1" applyFont="1" applyBorder="1" applyAlignment="1">
      <alignment horizontal="center"/>
    </xf>
    <xf numFmtId="164" fontId="5" fillId="0" borderId="6" xfId="0" applyNumberFormat="1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0" fillId="0" borderId="25" xfId="0" applyBorder="1"/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/>
    <xf numFmtId="0" fontId="0" fillId="0" borderId="24" xfId="0" applyBorder="1"/>
    <xf numFmtId="0" fontId="0" fillId="0" borderId="16" xfId="0" applyBorder="1"/>
    <xf numFmtId="0" fontId="0" fillId="0" borderId="26" xfId="0" applyBorder="1"/>
    <xf numFmtId="165" fontId="0" fillId="0" borderId="29" xfId="0" applyNumberFormat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0" fillId="0" borderId="18" xfId="0" applyBorder="1"/>
    <xf numFmtId="0" fontId="1" fillId="0" borderId="3" xfId="0" applyFont="1" applyBorder="1" applyAlignment="1">
      <alignment horizontal="center"/>
    </xf>
    <xf numFmtId="0" fontId="0" fillId="0" borderId="15" xfId="0" applyFont="1" applyBorder="1"/>
    <xf numFmtId="0" fontId="0" fillId="0" borderId="15" xfId="0" applyFont="1" applyFill="1" applyBorder="1"/>
    <xf numFmtId="0" fontId="0" fillId="0" borderId="9" xfId="0" applyFont="1" applyBorder="1"/>
    <xf numFmtId="0" fontId="0" fillId="2" borderId="3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5" fontId="0" fillId="2" borderId="29" xfId="0" applyNumberFormat="1" applyFill="1" applyBorder="1" applyAlignment="1">
      <alignment horizontal="center"/>
    </xf>
    <xf numFmtId="0" fontId="0" fillId="2" borderId="0" xfId="0" applyFont="1" applyFill="1"/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3" fillId="4" borderId="42" xfId="0" applyFont="1" applyFill="1" applyBorder="1" applyAlignment="1">
      <alignment horizontal="center"/>
    </xf>
    <xf numFmtId="0" fontId="3" fillId="4" borderId="42" xfId="0" quotePrefix="1" applyFont="1" applyFill="1" applyBorder="1" applyAlignment="1">
      <alignment horizontal="center"/>
    </xf>
    <xf numFmtId="0" fontId="0" fillId="4" borderId="42" xfId="0" quotePrefix="1" applyFont="1" applyFill="1" applyBorder="1" applyAlignment="1">
      <alignment horizontal="center"/>
    </xf>
    <xf numFmtId="0" fontId="3" fillId="4" borderId="43" xfId="0" quotePrefix="1" applyFont="1" applyFill="1" applyBorder="1" applyAlignment="1">
      <alignment horizontal="center"/>
    </xf>
    <xf numFmtId="0" fontId="6" fillId="5" borderId="44" xfId="0" applyFont="1" applyFill="1" applyBorder="1" applyAlignment="1">
      <alignment horizontal="center"/>
    </xf>
    <xf numFmtId="0" fontId="1" fillId="5" borderId="44" xfId="0" applyFont="1" applyFill="1" applyBorder="1" applyAlignment="1">
      <alignment horizontal="center"/>
    </xf>
    <xf numFmtId="164" fontId="5" fillId="5" borderId="45" xfId="0" applyNumberFormat="1" applyFont="1" applyFill="1" applyBorder="1" applyAlignment="1">
      <alignment horizontal="center"/>
    </xf>
    <xf numFmtId="164" fontId="5" fillId="5" borderId="46" xfId="0" applyNumberFormat="1" applyFont="1" applyFill="1" applyBorder="1" applyAlignment="1">
      <alignment horizontal="center"/>
    </xf>
    <xf numFmtId="0" fontId="0" fillId="5" borderId="44" xfId="0" applyFont="1" applyFill="1" applyBorder="1" applyAlignment="1">
      <alignment horizontal="center" vertical="center"/>
    </xf>
    <xf numFmtId="0" fontId="0" fillId="5" borderId="46" xfId="0" applyFont="1" applyFill="1" applyBorder="1" applyAlignment="1">
      <alignment horizontal="center"/>
    </xf>
    <xf numFmtId="0" fontId="0" fillId="5" borderId="47" xfId="0" applyFont="1" applyFill="1" applyBorder="1" applyAlignment="1">
      <alignment horizontal="center"/>
    </xf>
    <xf numFmtId="0" fontId="6" fillId="5" borderId="48" xfId="0" applyFont="1" applyFill="1" applyBorder="1" applyAlignment="1">
      <alignment horizontal="center"/>
    </xf>
    <xf numFmtId="0" fontId="0" fillId="5" borderId="48" xfId="0" applyFont="1" applyFill="1" applyBorder="1" applyAlignment="1">
      <alignment horizontal="center"/>
    </xf>
    <xf numFmtId="164" fontId="5" fillId="5" borderId="48" xfId="0" applyNumberFormat="1" applyFont="1" applyFill="1" applyBorder="1" applyAlignment="1">
      <alignment horizontal="center"/>
    </xf>
    <xf numFmtId="0" fontId="5" fillId="5" borderId="49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0" fillId="5" borderId="29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164" fontId="11" fillId="0" borderId="3" xfId="0" applyNumberFormat="1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15" xfId="0" applyFont="1" applyFill="1" applyBorder="1"/>
    <xf numFmtId="0" fontId="10" fillId="0" borderId="9" xfId="0" applyFont="1" applyFill="1" applyBorder="1"/>
    <xf numFmtId="165" fontId="10" fillId="0" borderId="29" xfId="0" applyNumberFormat="1" applyFont="1" applyFill="1" applyBorder="1" applyAlignment="1">
      <alignment horizontal="center"/>
    </xf>
    <xf numFmtId="0" fontId="10" fillId="0" borderId="0" xfId="0" applyFont="1" applyFill="1"/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SPEED CURVES -JUMBO JUBILEE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5027229203072107E-2"/>
          <c:y val="0.147842527870167"/>
          <c:w val="0.653896411753633"/>
          <c:h val="0.69242302454432703"/>
        </c:manualLayout>
      </c:layout>
      <c:scatterChart>
        <c:scatterStyle val="lineMarker"/>
        <c:varyColors val="0"/>
        <c:ser>
          <c:idx val="0"/>
          <c:order val="0"/>
          <c:tx>
            <c:strRef>
              <c:f>'SPEED CURVES'!$B$6</c:f>
              <c:strCache>
                <c:ptCount val="1"/>
                <c:pt idx="0">
                  <c:v>Following Seas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0"/>
            <c:dispEq val="1"/>
            <c:trendlineLbl>
              <c:layout>
                <c:manualLayout>
                  <c:x val="0.27927401946962699"/>
                  <c:y val="-0.3163968745944334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'SPEED CURVES'!$A$7:$A$30</c:f>
              <c:numCache>
                <c:formatCode>General</c:formatCode>
                <c:ptCount val="24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</c:numCache>
            </c:numRef>
          </c:xVal>
          <c:yVal>
            <c:numRef>
              <c:f>'SPEED CURVES'!$B$7:$B$30</c:f>
              <c:numCache>
                <c:formatCode>General</c:formatCode>
                <c:ptCount val="24"/>
                <c:pt idx="0" formatCode="0.00">
                  <c:v>18</c:v>
                </c:pt>
                <c:pt idx="1">
                  <c:v>18.428571430000002</c:v>
                </c:pt>
                <c:pt idx="2">
                  <c:v>18.571428569999998</c:v>
                </c:pt>
                <c:pt idx="3">
                  <c:v>18.571428569999998</c:v>
                </c:pt>
                <c:pt idx="4">
                  <c:v>18.35714286</c:v>
                </c:pt>
                <c:pt idx="5" formatCode="0.00">
                  <c:v>18</c:v>
                </c:pt>
                <c:pt idx="6">
                  <c:v>17.64285714</c:v>
                </c:pt>
                <c:pt idx="7">
                  <c:v>17.214285709999999</c:v>
                </c:pt>
                <c:pt idx="8">
                  <c:v>16.571428569999998</c:v>
                </c:pt>
                <c:pt idx="9">
                  <c:v>15.85714286</c:v>
                </c:pt>
                <c:pt idx="10">
                  <c:v>15.07142857</c:v>
                </c:pt>
                <c:pt idx="11">
                  <c:v>14.21428571</c:v>
                </c:pt>
                <c:pt idx="12" formatCode="0.00">
                  <c:v>14.8300865777273</c:v>
                </c:pt>
                <c:pt idx="13">
                  <c:v>14.4642024616084</c:v>
                </c:pt>
                <c:pt idx="14">
                  <c:v>14.098318345489499</c:v>
                </c:pt>
                <c:pt idx="15">
                  <c:v>13.7324342293706</c:v>
                </c:pt>
                <c:pt idx="16" formatCode="0.00">
                  <c:v>13.3665501132517</c:v>
                </c:pt>
                <c:pt idx="17">
                  <c:v>13.0006659971329</c:v>
                </c:pt>
                <c:pt idx="18">
                  <c:v>12.634781881014</c:v>
                </c:pt>
                <c:pt idx="19">
                  <c:v>12.268897764895099</c:v>
                </c:pt>
                <c:pt idx="20">
                  <c:v>11.9030136487762</c:v>
                </c:pt>
                <c:pt idx="21" formatCode="0.00">
                  <c:v>11.5371295326573</c:v>
                </c:pt>
                <c:pt idx="22">
                  <c:v>11.1712454165385</c:v>
                </c:pt>
                <c:pt idx="23">
                  <c:v>10.8053613004196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'SPEED CURVES'!$C$6</c:f>
              <c:strCache>
                <c:ptCount val="1"/>
                <c:pt idx="0">
                  <c:v>Beam Seas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3"/>
            <c:dispRSqr val="0"/>
            <c:dispEq val="1"/>
            <c:trendlineLbl>
              <c:layout>
                <c:manualLayout>
                  <c:x val="0.27561217165409557"/>
                  <c:y val="-0.480445529544512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'SPEED CURVES'!$A$7:$A$30</c:f>
              <c:numCache>
                <c:formatCode>General</c:formatCode>
                <c:ptCount val="24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</c:numCache>
            </c:numRef>
          </c:xVal>
          <c:yVal>
            <c:numRef>
              <c:f>'SPEED CURVES'!$C$7:$C$30</c:f>
              <c:numCache>
                <c:formatCode>General</c:formatCode>
                <c:ptCount val="24"/>
                <c:pt idx="0" formatCode="0.00">
                  <c:v>18</c:v>
                </c:pt>
                <c:pt idx="1">
                  <c:v>18.14285714</c:v>
                </c:pt>
                <c:pt idx="2">
                  <c:v>17.85714286</c:v>
                </c:pt>
                <c:pt idx="3">
                  <c:v>17.428571430000002</c:v>
                </c:pt>
                <c:pt idx="4">
                  <c:v>16.571428569999998</c:v>
                </c:pt>
                <c:pt idx="5">
                  <c:v>15.71428571</c:v>
                </c:pt>
                <c:pt idx="6">
                  <c:v>14.64285714</c:v>
                </c:pt>
                <c:pt idx="7">
                  <c:v>13.71428571</c:v>
                </c:pt>
                <c:pt idx="8">
                  <c:v>12.71428571</c:v>
                </c:pt>
                <c:pt idx="9">
                  <c:v>11.64285714</c:v>
                </c:pt>
                <c:pt idx="10">
                  <c:v>10.57142857</c:v>
                </c:pt>
                <c:pt idx="11">
                  <c:v>9.7142857140000007</c:v>
                </c:pt>
                <c:pt idx="12" formatCode="0.00">
                  <c:v>9.3625541093636393</c:v>
                </c:pt>
                <c:pt idx="13">
                  <c:v>8.5373792839580709</c:v>
                </c:pt>
                <c:pt idx="14">
                  <c:v>7.7122044585524696</c:v>
                </c:pt>
                <c:pt idx="15">
                  <c:v>6.8870296331468701</c:v>
                </c:pt>
                <c:pt idx="16" formatCode="0.00">
                  <c:v>6.0618548077412697</c:v>
                </c:pt>
                <c:pt idx="17">
                  <c:v>5.2366799823356702</c:v>
                </c:pt>
                <c:pt idx="18">
                  <c:v>4.4115051569300698</c:v>
                </c:pt>
                <c:pt idx="19">
                  <c:v>3.5863303315244699</c:v>
                </c:pt>
                <c:pt idx="20">
                  <c:v>2.7611555061188602</c:v>
                </c:pt>
                <c:pt idx="21">
                  <c:v>1.93598068071326</c:v>
                </c:pt>
                <c:pt idx="22">
                  <c:v>1.1108058553076701</c:v>
                </c:pt>
                <c:pt idx="23">
                  <c:v>0.28563102990216599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'SPEED CURVES'!$D$6</c:f>
              <c:strCache>
                <c:ptCount val="1"/>
                <c:pt idx="0">
                  <c:v>Head Seas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poly"/>
            <c:order val="3"/>
            <c:dispRSqr val="0"/>
            <c:dispEq val="1"/>
            <c:trendlineLbl>
              <c:layout>
                <c:manualLayout>
                  <c:x val="0.26915622851284199"/>
                  <c:y val="-0.3256997563625420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'SPEED CURVES'!$A$7:$A$30</c:f>
              <c:numCache>
                <c:formatCode>General</c:formatCode>
                <c:ptCount val="24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</c:numCache>
            </c:numRef>
          </c:xVal>
          <c:yVal>
            <c:numRef>
              <c:f>'SPEED CURVES'!$D$7:$D$30</c:f>
              <c:numCache>
                <c:formatCode>0.00</c:formatCode>
                <c:ptCount val="24"/>
                <c:pt idx="0">
                  <c:v>18</c:v>
                </c:pt>
                <c:pt idx="1">
                  <c:v>18</c:v>
                </c:pt>
                <c:pt idx="2" formatCode="General">
                  <c:v>17.714285709999999</c:v>
                </c:pt>
                <c:pt idx="3" formatCode="General">
                  <c:v>17.14285714</c:v>
                </c:pt>
                <c:pt idx="4">
                  <c:v>16</c:v>
                </c:pt>
                <c:pt idx="5" formatCode="General">
                  <c:v>14.92857143</c:v>
                </c:pt>
                <c:pt idx="6" formatCode="General">
                  <c:v>13.57142857</c:v>
                </c:pt>
                <c:pt idx="7" formatCode="General">
                  <c:v>12.07142857</c:v>
                </c:pt>
                <c:pt idx="8" formatCode="General">
                  <c:v>10.71428571</c:v>
                </c:pt>
                <c:pt idx="9" formatCode="General">
                  <c:v>9.1428571430000005</c:v>
                </c:pt>
                <c:pt idx="10" formatCode="General">
                  <c:v>7.7142857139999998</c:v>
                </c:pt>
                <c:pt idx="11" formatCode="General">
                  <c:v>6.3571428570000004</c:v>
                </c:pt>
                <c:pt idx="12">
                  <c:v>6.0389610381515197</c:v>
                </c:pt>
                <c:pt idx="13">
                  <c:v>4.8993506485851199</c:v>
                </c:pt>
                <c:pt idx="14" formatCode="General">
                  <c:v>3.7597402590186202</c:v>
                </c:pt>
                <c:pt idx="15" formatCode="General">
                  <c:v>2.6201298694522199</c:v>
                </c:pt>
                <c:pt idx="16">
                  <c:v>1.4805194798858199</c:v>
                </c:pt>
                <c:pt idx="17">
                  <c:v>0.34090909031932198</c:v>
                </c:pt>
                <c:pt idx="18" formatCode="General">
                  <c:v>-0.798701299247078</c:v>
                </c:pt>
                <c:pt idx="19" formatCode="General">
                  <c:v>-1.9383116888134799</c:v>
                </c:pt>
                <c:pt idx="20">
                  <c:v>-3.0779220783799799</c:v>
                </c:pt>
                <c:pt idx="21" formatCode="General">
                  <c:v>-4.2175324679463797</c:v>
                </c:pt>
                <c:pt idx="22" formatCode="General">
                  <c:v>-5.3571428575127804</c:v>
                </c:pt>
                <c:pt idx="23" formatCode="General">
                  <c:v>-6.4967532470792797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320248"/>
        <c:axId val="238323384"/>
      </c:scatterChart>
      <c:valAx>
        <c:axId val="238320248"/>
        <c:scaling>
          <c:orientation val="minMax"/>
          <c:max val="4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WAVE</a:t>
                </a:r>
                <a:r>
                  <a:rPr lang="fr-CA" baseline="0"/>
                  <a:t> HEIGHT (FT.)</a:t>
                </a:r>
                <a:endParaRPr lang="fr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8323384"/>
        <c:crosses val="autoZero"/>
        <c:crossBetween val="midCat"/>
        <c:majorUnit val="2"/>
      </c:valAx>
      <c:valAx>
        <c:axId val="238323384"/>
        <c:scaling>
          <c:orientation val="minMax"/>
          <c:max val="20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SHIP SPEED (KNOTS)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83202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66996545392203"/>
          <c:y val="0.919585738633939"/>
          <c:w val="0.31805615111025698"/>
          <c:h val="6.056567413839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116416</xdr:rowOff>
    </xdr:from>
    <xdr:to>
      <xdr:col>1</xdr:col>
      <xdr:colOff>1333500</xdr:colOff>
      <xdr:row>2</xdr:row>
      <xdr:rowOff>116416</xdr:rowOff>
    </xdr:to>
    <xdr:sp macro="[0]!InsererUnPoint" textlink="">
      <xdr:nvSpPr>
        <xdr:cNvPr id="2" name="ZoneTexte 1"/>
        <xdr:cNvSpPr txBox="1"/>
      </xdr:nvSpPr>
      <xdr:spPr>
        <a:xfrm>
          <a:off x="254000" y="116416"/>
          <a:ext cx="133350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Inserer</a:t>
          </a:r>
          <a:r>
            <a:rPr lang="fr-FR" sz="1100" baseline="0">
              <a:solidFill>
                <a:srgbClr val="0000FF"/>
              </a:solidFill>
            </a:rPr>
            <a:t> un point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</xdr:col>
      <xdr:colOff>21167</xdr:colOff>
      <xdr:row>3</xdr:row>
      <xdr:rowOff>74083</xdr:rowOff>
    </xdr:from>
    <xdr:to>
      <xdr:col>1</xdr:col>
      <xdr:colOff>1354667</xdr:colOff>
      <xdr:row>5</xdr:row>
      <xdr:rowOff>74083</xdr:rowOff>
    </xdr:to>
    <xdr:sp macro="[0]!SupprimerUneligne" textlink="">
      <xdr:nvSpPr>
        <xdr:cNvPr id="3" name="ZoneTexte 2"/>
        <xdr:cNvSpPr txBox="1"/>
      </xdr:nvSpPr>
      <xdr:spPr>
        <a:xfrm>
          <a:off x="275167" y="645583"/>
          <a:ext cx="1333500" cy="3810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Supprimer</a:t>
          </a:r>
          <a:r>
            <a:rPr lang="fr-FR" sz="1100" baseline="0">
              <a:solidFill>
                <a:srgbClr val="FF0000"/>
              </a:solidFill>
            </a:rPr>
            <a:t> un point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661986</xdr:colOff>
      <xdr:row>4</xdr:row>
      <xdr:rowOff>61911</xdr:rowOff>
    </xdr:from>
    <xdr:to>
      <xdr:col>14</xdr:col>
      <xdr:colOff>571500</xdr:colOff>
      <xdr:row>22</xdr:row>
      <xdr:rowOff>152400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AJ22"/>
  <sheetViews>
    <sheetView tabSelected="1" zoomScale="90" zoomScaleNormal="90" zoomScalePageLayoutView="90" workbookViewId="0"/>
  </sheetViews>
  <sheetFormatPr baseColWidth="10" defaultRowHeight="15" x14ac:dyDescent="0.25"/>
  <cols>
    <col min="1" max="1" width="3.85546875" customWidth="1"/>
    <col min="2" max="2" width="29.28515625" style="1" customWidth="1"/>
    <col min="3" max="7" width="6.42578125" style="1" customWidth="1"/>
    <col min="8" max="8" width="6.28515625" style="1" customWidth="1"/>
    <col min="9" max="10" width="6.42578125" style="1" customWidth="1"/>
    <col min="11" max="11" width="13.85546875" style="1" customWidth="1"/>
    <col min="12" max="12" width="12.42578125" style="1" customWidth="1"/>
    <col min="13" max="13" width="9.140625" style="1" customWidth="1"/>
    <col min="14" max="18" width="6.42578125" style="1" customWidth="1"/>
    <col min="19" max="21" width="10.85546875" style="1"/>
    <col min="22" max="25" width="11.42578125" style="1" customWidth="1"/>
    <col min="26" max="29" width="10.85546875" style="1"/>
    <col min="30" max="30" width="11.42578125" style="1" customWidth="1"/>
    <col min="31" max="31" width="19.42578125" style="1" customWidth="1"/>
    <col min="32" max="32" width="14" style="1" customWidth="1"/>
    <col min="33" max="34" width="11.42578125" style="1" customWidth="1"/>
    <col min="35" max="35" width="10.85546875" style="1"/>
    <col min="36" max="36" width="21.85546875" style="1" customWidth="1"/>
  </cols>
  <sheetData>
    <row r="6" spans="1:36" ht="15.75" thickBot="1" x14ac:dyDescent="0.3"/>
    <row r="7" spans="1:36" ht="15.75" thickBot="1" x14ac:dyDescent="0.3">
      <c r="B7" s="5"/>
      <c r="C7" s="106" t="s">
        <v>14</v>
      </c>
      <c r="D7" s="107"/>
      <c r="E7" s="107"/>
      <c r="F7" s="107"/>
      <c r="G7" s="107"/>
      <c r="H7" s="107"/>
      <c r="I7" s="107"/>
      <c r="J7" s="108"/>
      <c r="K7" s="38"/>
      <c r="L7" s="38"/>
      <c r="M7" s="38"/>
      <c r="N7" s="38"/>
      <c r="O7" s="38"/>
      <c r="P7" s="38"/>
      <c r="Q7" s="38"/>
      <c r="R7" s="38"/>
      <c r="S7" s="111" t="s">
        <v>0</v>
      </c>
      <c r="T7" s="112"/>
      <c r="U7" s="113"/>
      <c r="V7" s="38"/>
      <c r="W7" s="38"/>
      <c r="X7" s="38"/>
      <c r="Y7" s="38"/>
      <c r="Z7" s="31" t="s">
        <v>39</v>
      </c>
      <c r="AA7" s="31" t="s">
        <v>0</v>
      </c>
      <c r="AB7" s="31" t="s">
        <v>38</v>
      </c>
      <c r="AC7" s="30" t="s">
        <v>37</v>
      </c>
      <c r="AD7" s="30" t="s">
        <v>24</v>
      </c>
      <c r="AE7" s="46" t="s">
        <v>40</v>
      </c>
      <c r="AF7" s="30" t="s">
        <v>38</v>
      </c>
      <c r="AG7" s="30" t="s">
        <v>36</v>
      </c>
      <c r="AH7" s="30" t="s">
        <v>24</v>
      </c>
      <c r="AI7" s="30" t="s">
        <v>38</v>
      </c>
      <c r="AJ7" s="31" t="s">
        <v>35</v>
      </c>
    </row>
    <row r="8" spans="1:36" ht="15.75" thickBot="1" x14ac:dyDescent="0.3">
      <c r="B8" s="6"/>
      <c r="C8" s="103" t="s">
        <v>5</v>
      </c>
      <c r="D8" s="104"/>
      <c r="E8" s="104"/>
      <c r="F8" s="105"/>
      <c r="G8" s="103" t="s">
        <v>6</v>
      </c>
      <c r="H8" s="104"/>
      <c r="I8" s="104"/>
      <c r="J8" s="105"/>
      <c r="K8" s="40"/>
      <c r="L8" s="47"/>
      <c r="M8" s="103" t="s">
        <v>42</v>
      </c>
      <c r="N8" s="104"/>
      <c r="O8" s="105"/>
      <c r="P8" s="116" t="s">
        <v>43</v>
      </c>
      <c r="Q8" s="117"/>
      <c r="R8" s="118"/>
      <c r="S8" s="109" t="s">
        <v>1</v>
      </c>
      <c r="T8" s="114" t="s">
        <v>2</v>
      </c>
      <c r="U8" s="115"/>
      <c r="V8" s="47" t="s">
        <v>3</v>
      </c>
      <c r="W8" s="103" t="s">
        <v>4</v>
      </c>
      <c r="X8" s="104"/>
      <c r="Y8" s="105"/>
      <c r="Z8" s="5"/>
      <c r="AA8" s="5"/>
      <c r="AB8" s="27"/>
      <c r="AC8" s="27"/>
      <c r="AD8" s="5"/>
      <c r="AE8" s="5"/>
      <c r="AF8" s="5"/>
      <c r="AG8" s="5"/>
      <c r="AH8" s="5"/>
      <c r="AI8" s="5"/>
      <c r="AJ8" s="28"/>
    </row>
    <row r="9" spans="1:36" ht="15.75" thickBot="1" x14ac:dyDescent="0.3">
      <c r="B9" s="6"/>
      <c r="C9" s="7" t="s">
        <v>8</v>
      </c>
      <c r="D9" s="9" t="s">
        <v>9</v>
      </c>
      <c r="E9" s="9" t="s">
        <v>10</v>
      </c>
      <c r="F9" s="8" t="s">
        <v>12</v>
      </c>
      <c r="G9" s="7" t="s">
        <v>8</v>
      </c>
      <c r="H9" s="9" t="s">
        <v>9</v>
      </c>
      <c r="I9" s="9" t="s">
        <v>10</v>
      </c>
      <c r="J9" s="9" t="s">
        <v>13</v>
      </c>
      <c r="K9" s="49" t="s">
        <v>7</v>
      </c>
      <c r="L9" s="53" t="s">
        <v>15</v>
      </c>
      <c r="M9" s="55" t="s">
        <v>16</v>
      </c>
      <c r="N9" s="55" t="s">
        <v>17</v>
      </c>
      <c r="O9" s="55" t="s">
        <v>18</v>
      </c>
      <c r="P9" s="52" t="s">
        <v>16</v>
      </c>
      <c r="Q9" s="22" t="s">
        <v>17</v>
      </c>
      <c r="R9" s="48" t="s">
        <v>18</v>
      </c>
      <c r="S9" s="110"/>
      <c r="T9" s="39" t="s">
        <v>3</v>
      </c>
      <c r="U9" s="39" t="s">
        <v>4</v>
      </c>
      <c r="V9" s="19" t="s">
        <v>19</v>
      </c>
      <c r="W9" s="17" t="s">
        <v>21</v>
      </c>
      <c r="X9" s="23" t="s">
        <v>22</v>
      </c>
      <c r="Y9" s="24" t="s">
        <v>23</v>
      </c>
      <c r="Z9" s="6"/>
      <c r="AA9" s="6"/>
      <c r="AB9" s="11"/>
      <c r="AC9" s="11"/>
      <c r="AD9" s="6"/>
      <c r="AE9" s="6"/>
      <c r="AF9" s="6"/>
      <c r="AG9" s="6"/>
      <c r="AH9" s="6"/>
      <c r="AI9" s="6"/>
      <c r="AJ9" s="29"/>
    </row>
    <row r="10" spans="1:36" ht="15.75" hidden="1" thickBot="1" x14ac:dyDescent="0.3">
      <c r="B10" s="72">
        <v>0</v>
      </c>
      <c r="C10" s="73">
        <v>0</v>
      </c>
      <c r="D10" s="74">
        <v>0</v>
      </c>
      <c r="E10" s="74">
        <v>0</v>
      </c>
      <c r="F10" s="75" t="s">
        <v>11</v>
      </c>
      <c r="G10" s="73">
        <v>0</v>
      </c>
      <c r="H10" s="76">
        <v>0</v>
      </c>
      <c r="I10" s="76">
        <v>0</v>
      </c>
      <c r="J10" s="76" t="s">
        <v>20</v>
      </c>
      <c r="K10" s="77">
        <f t="shared" ref="K10:K22" si="0">7915.704468*(LOG(TAN((RADIANS(45))+((RADIANS((C10)+(D10/60)+(E10/3600)))/2))))-(23.268932*(SIN(RADIANS((C10)+(D10/60)+(E10/3600)))))-(0.0525*(SIN(RADIANS((C10)+(D10/60)+(E10/3600))))^3)-(0.000213*(SIN(RADIANS((C10)+(D10/60)+(E10/3600))))^5)</f>
        <v>-3.8166656178054882E-13</v>
      </c>
      <c r="L10" s="78" t="e">
        <f t="shared" ref="L10:L22" si="1">IF((F9=F10),ABS(K9-K10),(K9+K10))</f>
        <v>#VALUE!</v>
      </c>
      <c r="M10" s="79" t="b">
        <f>IF(AND(F9="N",F10="N"),(ABS((RADIANS((C9)+(D9/60)+(E9/3600)))-(RADIANS((C10)+(D10/60)+(E10/3600))))),IF(AND(F9="S",F10="S"),(ABS((RADIANS((C9)+(D9/60)+(E9/3600)))-(RADIANS((C10)+(D10/60)+(E10/3600))))),IF(AND(F9="N",F10="S"),(RADIANS((C9)+(D9/60)+(E9/3600)))+(RADIANS((C10)+(D10/60)+(E10/3600))),IF(AND(F9="S",F10="N"),(RADIANS((C9)+(D9/60)+(E9/3600))+(RADIANS((C10)+(D10/60)+(E10/3600))))))))</f>
        <v>0</v>
      </c>
      <c r="N10" s="79">
        <f t="shared" ref="N10:N22" si="2">DEGREES(M10)</f>
        <v>0</v>
      </c>
      <c r="O10" s="79">
        <f t="shared" ref="O10:O22" si="3">N10*60</f>
        <v>0</v>
      </c>
      <c r="P10" s="80" t="b">
        <f>IF(AND(J9="E",J10="E"),(ABS((RADIANS((G9)+(H9/60)+(I9/3600)))-(RADIANS((G10)+(H10/60)+(I10/3600))))),IF(AND(J9="W",J10="W"),(ABS((RADIANS((G9)+(H9/60)+(I9/3600)))-(RADIANS((G10)+(H10/60)+(I10/3600))))),IF(AND(J9="E",J10="W"),(RADIANS((G9)+(H9/60)+(I9/3600)))+(RADIANS((G10)+(H10/60)+(I10/3600))),IF(AND(J9="W",J10="E"),(RADIANS((G9)+(H9/60)+(I9/3600))+(RADIANS((G10)+(H10/60)+(I10/3600))))))))</f>
        <v>0</v>
      </c>
      <c r="Q10" s="80">
        <f t="shared" ref="Q10:Q22" si="4">DEGREES(P10)</f>
        <v>0</v>
      </c>
      <c r="R10" s="80">
        <f t="shared" ref="R10:R22" si="5">IF(Q10&gt;180,ABS(60*(Q10-360)),Q10*60)</f>
        <v>0</v>
      </c>
      <c r="S10" s="81" t="b">
        <f>IF(AND(F9="N",F10="N"),(ACOS(COS(RADIANS(90-((C9)+(D9/60)+(E9/3600))))*COS(RADIANS(90-((C10)+(D10/60)+(E10/3600))))+SIN(RADIANS(90-((C9)+(D9/60)+(E9/3600))))*SIN(RADIANS(90-((C10)+(D10/60)+(E10/3600))))*COS(P10))*3440.065),IF(AND(F9="N",F10="S"),(ACOS(COS(RADIANS(90-((C9)+(D9/60)+(E9/3600))))*COS(RADIANS(90+((C10)+(D10/60)+(E10/3600))))+SIN(RADIANS(90-((C9)+(D9/60)+(E9/3600))))*SIN(RADIANS(90+((C10)+(D10/60)+(E10/3600))))*COS(P10))*3440.065),IF(AND(F9="S",F10="S"),(ACOS(COS(RADIANS(90-((C9)+(D9/60)+(E9/3600))))*COS(RADIANS(90-((C10)+(D10/60)+(E10/3600))))+SIN(RADIANS(90-((C9)+(D9/60)+(E9/3600))))*SIN(RADIANS(90-((C10)+(D10/60)+(E10/3600))))*COS(P10))*3440.065),IF(AND(F9="S",F10="N"),(ACOS(COS(RADIANS(90+((C9)+(D9/60)+(E9/3600))))*COS(RADIANS(90-((C10)+(D10/60)+(E10/3600))))+SIN(RADIANS(90+((C9)+(D9/60)+(E9/3600))))*SIN(RADIANS(90-((C10)+(D10/60)+(E10/3600))))*COS(P10))*3440.065)))))</f>
        <v>0</v>
      </c>
      <c r="T10" s="82" t="e">
        <f t="shared" ref="T10:T22" si="6">((O10)/COS((V10)))</f>
        <v>#VALUE!</v>
      </c>
      <c r="U10" s="83" t="e">
        <f t="shared" ref="U10:U22" si="7">(DEGREES(M10/COS(Y10)))*60</f>
        <v>#VALUE!</v>
      </c>
      <c r="V10" s="84" t="e">
        <f t="shared" ref="V10:V22" si="8">ATAN((R10)/(L10))</f>
        <v>#VALUE!</v>
      </c>
      <c r="W10" s="85" t="e">
        <f>IF(AND(F9=F10,RADIANS(((C9)+(D9/60)+(E9/3600))&gt;(C10)+(D10/60)+(E10/3600))),ABS(RADIANS((C9)+(D9/60)+(E9/3600))-(M10/2)),IF(AND(F9=F10,RADIANS(((C9)+(D9/60)+(E9/3600))&lt;(C10)+(D10/60)+(E10/3600))),ABS(RADIANS((C9)+(D9/60)+(E9/3600))+(M10/2)),IF(F9&lt;&gt;F10,ABS(RADIANS((C9)+(D9/60)+(E9/3600))-(M10/2)))))</f>
        <v>#VALUE!</v>
      </c>
      <c r="X10" s="86" t="e">
        <f t="shared" ref="X10:X22" si="9">(P10*COS(W10))</f>
        <v>#VALUE!</v>
      </c>
      <c r="Y10" s="87" t="e">
        <f t="shared" ref="Y10:Y22" si="10">ATAN(X10/M10)</f>
        <v>#VALUE!</v>
      </c>
      <c r="Z10" s="72" t="s">
        <v>1</v>
      </c>
      <c r="AA10" s="88" t="b">
        <f t="shared" ref="AA10:AA22" si="11">IF(Z10="Ortho",S10,IF(Z10="Mercator",T10,U10))</f>
        <v>0</v>
      </c>
      <c r="AB10" s="89">
        <v>12</v>
      </c>
      <c r="AC10" s="89" t="s">
        <v>41</v>
      </c>
      <c r="AD10" s="72">
        <v>2</v>
      </c>
      <c r="AE10" s="88">
        <f>LOOKUP(AD10,'SPEED CURVES'!$A$38:$A$50,'SPEED CURVES'!$D$38:$D$50)</f>
        <v>0.6561679800000001</v>
      </c>
      <c r="AF10" s="88">
        <f>IF((AC10="BEAM"),((0.001*(AE10)^3)-(0.0431*(AE10)^2)+(0.1043*(AE10))+(AB10)),IF((AC10="FOLLOW"),((0.0003*(AE10)^3)-(0.0233*(AE10)^2)+(0.2104*(AE10))+(AB10)),IF(AC10="HEAD",((0.0012*(AE10)^3)-(0.0554*(AE10)^2)+(0.1308*(AE10))+(AB10)))))</f>
        <v>12.062312967030131</v>
      </c>
      <c r="AG10" s="72" t="s">
        <v>41</v>
      </c>
      <c r="AH10" s="72">
        <v>3</v>
      </c>
      <c r="AI10" s="88">
        <f t="shared" ref="AI10:AI22" si="12">IF(AG10="FOLLOW",AF10+AH10,IF(AG10="HEAD",AF10-AH10))</f>
        <v>9.062312967030131</v>
      </c>
      <c r="AJ10" s="90">
        <f t="shared" ref="AJ10" si="13">((AA10/AI10)/24)</f>
        <v>0</v>
      </c>
    </row>
    <row r="11" spans="1:36" x14ac:dyDescent="0.25">
      <c r="B11" s="6">
        <v>1</v>
      </c>
      <c r="C11" s="10">
        <v>45</v>
      </c>
      <c r="D11" s="10">
        <v>0</v>
      </c>
      <c r="E11" s="10">
        <v>0</v>
      </c>
      <c r="F11" s="10" t="s">
        <v>11</v>
      </c>
      <c r="G11" s="10">
        <v>71</v>
      </c>
      <c r="H11" s="5">
        <v>0</v>
      </c>
      <c r="I11" s="5">
        <v>0</v>
      </c>
      <c r="J11" s="5" t="s">
        <v>20</v>
      </c>
      <c r="K11" s="50">
        <f t="shared" si="0"/>
        <v>3013.4669838560735</v>
      </c>
      <c r="L11" s="50">
        <f t="shared" si="1"/>
        <v>3013.466983856074</v>
      </c>
      <c r="M11" s="56">
        <f t="shared" ref="M11:M22" si="14">IF(AND(F10="N",F11="N"),(ABS((RADIANS((C10)+(D10/60)+(E10/3600)))-(RADIANS((C11)+(D11/60)+(E11/3600))))),IF(AND(F10="S",F11="S"),(ABS((RADIANS((C10)+(D10/60)+(E10/3600)))-(RADIANS((C11)+(D11/60)+(E11/3600))))),IF(AND(F10="N",F11="S"),(RADIANS((C10)+(D10/60)+(E10/3600)))+(RADIANS((C11)+(D11/60)+(E11/3600))),IF(AND(F10="S",F11="N"),(RADIANS((C10)+(D10/60)+(E10/3600))+(RADIANS((C11)+(D11/60)+(E11/3600))))))))</f>
        <v>0.78539816339744828</v>
      </c>
      <c r="N11" s="56">
        <f t="shared" si="2"/>
        <v>45</v>
      </c>
      <c r="O11" s="56">
        <f t="shared" si="3"/>
        <v>2700</v>
      </c>
      <c r="P11" s="15">
        <f t="shared" ref="P11:P22" si="15">IF(AND(J10="E",J11="E"),(ABS((RADIANS((G10)+(H10/60)+(I10/3600)))-(RADIANS((G11)+(H11/60)+(I11/3600))))),IF(AND(J10="W",J11="W"),(ABS((RADIANS((G10)+(H10/60)+(I10/3600)))-(RADIANS((G11)+(H11/60)+(I11/3600))))),IF(AND(J10="E",J11="W"),(RADIANS((G10)+(H10/60)+(I10/3600)))+(RADIANS((G11)+(H11/60)+(I11/3600))),IF(AND(J10="W",J11="E"),(RADIANS((G10)+(H10/60)+(I10/3600))+(RADIANS((G11)+(H11/60)+(I11/3600))))))))</f>
        <v>1.2391837689159739</v>
      </c>
      <c r="Q11" s="15">
        <f t="shared" si="4"/>
        <v>71</v>
      </c>
      <c r="R11" s="15">
        <f t="shared" si="5"/>
        <v>4260</v>
      </c>
      <c r="S11" s="5">
        <f t="shared" ref="S11:S22" si="16">IF(AND(F10="N",F11="N"),(ACOS(COS(RADIANS(90-((C10)+(D10/60)+(E10/3600))))*COS(RADIANS(90-((C11)+(D11/60)+(E11/3600))))+SIN(RADIANS(90-((C10)+(D10/60)+(E10/3600))))*SIN(RADIANS(90-((C11)+(D11/60)+(E11/3600))))*COS(P11))*3440.065),IF(AND(F10="N",F11="S"),(ACOS(COS(RADIANS(90-((C10)+(D10/60)+(E10/3600))))*COS(RADIANS(90+((C11)+(D11/60)+(E11/3600))))+SIN(RADIANS(90-((C10)+(D10/60)+(E10/3600))))*SIN(RADIANS(90+((C11)+(D11/60)+(E11/3600))))*COS(P11))*3440.065),IF(AND(F10="S",F11="S"),(ACOS(COS(RADIANS(90-((C10)+(D10/60)+(E10/3600))))*COS(RADIANS(90-((C11)+(D11/60)+(E11/3600))))+SIN(RADIANS(90-((C10)+(D10/60)+(E10/3600))))*SIN(RADIANS(90-((C11)+(D11/60)+(E11/3600))))*COS(P11))*3440.065),IF(AND(F10="S",F11="N"),(ACOS(COS(RADIANS(90+((C10)+(D10/60)+(E10/3600))))*COS(RADIANS(90-((C11)+(D11/60)+(E11/3600))))+SIN(RADIANS(90+((C10)+(D10/60)+(E10/3600))))*SIN(RADIANS(90-((C11)+(D11/60)+(E11/3600))))*COS(P11))*3440.065)))))</f>
        <v>4604.5316933625991</v>
      </c>
      <c r="T11" s="13">
        <f t="shared" si="6"/>
        <v>4675.3039356617073</v>
      </c>
      <c r="U11" s="3">
        <f t="shared" si="7"/>
        <v>4772.8341172861328</v>
      </c>
      <c r="V11" s="20">
        <f t="shared" si="8"/>
        <v>0.95513008623835538</v>
      </c>
      <c r="W11" s="20">
        <f t="shared" ref="W11:W22" si="17">IF(AND(F10=F11,RADIANS(((C10)+(D10/60)+(E10/3600))&gt;(C11)+(D11/60)+(E11/3600))),ABS(RADIANS((C10)+(D10/60)+(E10/3600))-(M11/2)),IF(AND(F10=F11,RADIANS(((C10)+(D10/60)+(E10/3600))&lt;(C11)+(D11/60)+(E11/3600))),ABS(RADIANS((C10)+(D10/60)+(E10/3600))+(M11/2)),IF(F10&lt;&gt;F11,ABS(RADIANS((C10)+(D10/60)+(E10/3600))-(M11/2)))))</f>
        <v>0.39269908169872414</v>
      </c>
      <c r="X11" s="21">
        <f t="shared" si="9"/>
        <v>1.1448565211216644</v>
      </c>
      <c r="Y11" s="3">
        <f t="shared" si="10"/>
        <v>0.96951246860259321</v>
      </c>
      <c r="Z11" s="6"/>
      <c r="AA11" s="6">
        <f t="shared" si="11"/>
        <v>4772.8341172861328</v>
      </c>
      <c r="AB11" s="11"/>
      <c r="AC11" s="11"/>
      <c r="AD11" s="6"/>
      <c r="AE11" s="6">
        <f>LOOKUP(AD11,'SPEED CURVES'!$A$38:$A$50,'SPEED CURVES'!$D$38:$D$50)</f>
        <v>0</v>
      </c>
      <c r="AF11" s="6" t="b">
        <f t="shared" ref="AF11:AF22" si="18">IF((AC11="BEAM"),((0.001*(AE11)^3)-(0.0431*(AE11)^2)+(0.1043*(AE11))+(AB11)),IF((AC11="FOLLOW"),((0.0003*(AE11)^3)-(0.0233*(AE11)^2)+(0.2104*(AE11))+(AB11)),IF(AC11="HEAD",((0.0012*(AE11)^3)-(0.0554*(AE11)^2)+(0.1308*(AE11))+(AB11)))))</f>
        <v>0</v>
      </c>
      <c r="AG11" s="6"/>
      <c r="AH11" s="6"/>
      <c r="AI11" s="6" t="b">
        <f t="shared" si="12"/>
        <v>0</v>
      </c>
      <c r="AJ11" s="29"/>
    </row>
    <row r="12" spans="1:36" x14ac:dyDescent="0.25">
      <c r="B12" s="6">
        <v>2</v>
      </c>
      <c r="C12" s="11">
        <v>35</v>
      </c>
      <c r="D12" s="11">
        <v>0</v>
      </c>
      <c r="E12" s="11">
        <v>0</v>
      </c>
      <c r="F12" s="11" t="s">
        <v>11</v>
      </c>
      <c r="G12" s="11">
        <v>68</v>
      </c>
      <c r="H12" s="6">
        <v>0</v>
      </c>
      <c r="I12" s="6">
        <v>0</v>
      </c>
      <c r="J12" s="6" t="s">
        <v>20</v>
      </c>
      <c r="K12" s="51">
        <f t="shared" si="0"/>
        <v>2230.9304126978386</v>
      </c>
      <c r="L12" s="51">
        <f t="shared" si="1"/>
        <v>782.53657115823489</v>
      </c>
      <c r="M12" s="57">
        <f t="shared" si="14"/>
        <v>0.17453292519943298</v>
      </c>
      <c r="N12" s="57">
        <f t="shared" si="2"/>
        <v>10.000000000000002</v>
      </c>
      <c r="O12" s="57">
        <f t="shared" si="3"/>
        <v>600.00000000000011</v>
      </c>
      <c r="P12" s="54">
        <f t="shared" si="15"/>
        <v>5.2359877559829737E-2</v>
      </c>
      <c r="Q12" s="18">
        <f t="shared" si="4"/>
        <v>2.9999999999999916</v>
      </c>
      <c r="R12" s="18">
        <f t="shared" si="5"/>
        <v>179.99999999999949</v>
      </c>
      <c r="S12" s="6">
        <f t="shared" si="16"/>
        <v>615.93177200905814</v>
      </c>
      <c r="T12" s="14">
        <f t="shared" si="6"/>
        <v>615.66834467931642</v>
      </c>
      <c r="U12" s="4">
        <f t="shared" si="7"/>
        <v>615.64039867296253</v>
      </c>
      <c r="V12" s="58">
        <f t="shared" si="8"/>
        <v>0.22608852138058369</v>
      </c>
      <c r="W12" s="59">
        <f t="shared" si="17"/>
        <v>0.69813170079773179</v>
      </c>
      <c r="X12" s="59">
        <f t="shared" si="9"/>
        <v>4.0109993247097644E-2</v>
      </c>
      <c r="Y12" s="60">
        <f t="shared" si="10"/>
        <v>0.22589109226374401</v>
      </c>
      <c r="Z12" s="6" t="s">
        <v>1</v>
      </c>
      <c r="AA12" s="6">
        <f t="shared" si="11"/>
        <v>615.93177200905814</v>
      </c>
      <c r="AB12" s="11">
        <v>12</v>
      </c>
      <c r="AC12" s="11" t="s">
        <v>25</v>
      </c>
      <c r="AD12" s="6">
        <v>2</v>
      </c>
      <c r="AE12" s="6">
        <f>LOOKUP(AD12,'SPEED CURVES'!$A$38:$A$50,'SPEED CURVES'!$D$38:$D$50)</f>
        <v>0.6561679800000001</v>
      </c>
      <c r="AF12" s="6">
        <f t="shared" si="18"/>
        <v>12.050163856034239</v>
      </c>
      <c r="AG12" s="6" t="s">
        <v>41</v>
      </c>
      <c r="AH12" s="6">
        <v>2</v>
      </c>
      <c r="AI12" s="6">
        <f t="shared" si="12"/>
        <v>10.050163856034239</v>
      </c>
      <c r="AJ12" s="45">
        <f>((AA12/AI12)/24)</f>
        <v>2.5535726781511019</v>
      </c>
    </row>
    <row r="13" spans="1:36" x14ac:dyDescent="0.25">
      <c r="B13" s="6">
        <v>3</v>
      </c>
      <c r="C13" s="11">
        <v>30</v>
      </c>
      <c r="D13" s="11">
        <v>0</v>
      </c>
      <c r="E13" s="11">
        <v>0</v>
      </c>
      <c r="F13" s="11" t="s">
        <v>11</v>
      </c>
      <c r="G13" s="11">
        <v>60</v>
      </c>
      <c r="H13" s="6">
        <v>0</v>
      </c>
      <c r="I13" s="6">
        <v>0</v>
      </c>
      <c r="J13" s="6" t="s">
        <v>20</v>
      </c>
      <c r="K13" s="51">
        <f t="shared" si="0"/>
        <v>1876.734388724848</v>
      </c>
      <c r="L13" s="51">
        <f t="shared" si="1"/>
        <v>354.19602397299059</v>
      </c>
      <c r="M13" s="57">
        <f t="shared" si="14"/>
        <v>8.7266462599716488E-2</v>
      </c>
      <c r="N13" s="57">
        <f t="shared" si="2"/>
        <v>5.0000000000000009</v>
      </c>
      <c r="O13" s="57">
        <f t="shared" si="3"/>
        <v>300.00000000000006</v>
      </c>
      <c r="P13" s="54">
        <f t="shared" si="15"/>
        <v>0.13962634015954656</v>
      </c>
      <c r="Q13" s="18">
        <f t="shared" si="4"/>
        <v>8.0000000000000107</v>
      </c>
      <c r="R13" s="18">
        <f t="shared" si="5"/>
        <v>480.00000000000063</v>
      </c>
      <c r="S13" s="6">
        <f t="shared" si="16"/>
        <v>503.90473860101696</v>
      </c>
      <c r="T13" s="14">
        <f t="shared" si="6"/>
        <v>505.25893394414447</v>
      </c>
      <c r="U13" s="4">
        <f t="shared" si="7"/>
        <v>503.87064188393543</v>
      </c>
      <c r="V13" s="58">
        <f t="shared" si="8"/>
        <v>0.93507887256570743</v>
      </c>
      <c r="W13" s="59">
        <f t="shared" si="17"/>
        <v>0.56723200689815712</v>
      </c>
      <c r="X13" s="59">
        <f t="shared" si="9"/>
        <v>0.11775966090072176</v>
      </c>
      <c r="Y13" s="60">
        <f t="shared" si="10"/>
        <v>0.93304421806245208</v>
      </c>
      <c r="Z13" s="6" t="s">
        <v>1</v>
      </c>
      <c r="AA13" s="6">
        <f t="shared" si="11"/>
        <v>503.90473860101696</v>
      </c>
      <c r="AB13" s="11">
        <v>12</v>
      </c>
      <c r="AC13" s="11" t="s">
        <v>25</v>
      </c>
      <c r="AD13" s="6">
        <v>2</v>
      </c>
      <c r="AE13" s="6">
        <f>LOOKUP(AD13,'SPEED CURVES'!$A$38:$A$50,'SPEED CURVES'!$D$38:$D$50)</f>
        <v>0.6561679800000001</v>
      </c>
      <c r="AF13" s="6">
        <f t="shared" si="18"/>
        <v>12.050163856034239</v>
      </c>
      <c r="AG13" s="6" t="s">
        <v>41</v>
      </c>
      <c r="AH13" s="6">
        <v>2</v>
      </c>
      <c r="AI13" s="6">
        <f t="shared" si="12"/>
        <v>10.050163856034239</v>
      </c>
      <c r="AJ13" s="45">
        <f>((AA13/AI13)/24)</f>
        <v>2.0891232298104376</v>
      </c>
    </row>
    <row r="14" spans="1:36" s="102" customFormat="1" x14ac:dyDescent="0.25">
      <c r="A14" s="12"/>
      <c r="B14" s="6">
        <v>4</v>
      </c>
      <c r="C14" s="92">
        <v>26</v>
      </c>
      <c r="D14" s="92">
        <v>0</v>
      </c>
      <c r="E14" s="92">
        <v>0</v>
      </c>
      <c r="F14" s="92" t="s">
        <v>11</v>
      </c>
      <c r="G14" s="92">
        <v>53</v>
      </c>
      <c r="H14" s="91">
        <v>0</v>
      </c>
      <c r="I14" s="91">
        <v>0</v>
      </c>
      <c r="J14" s="91" t="s">
        <v>20</v>
      </c>
      <c r="K14" s="93">
        <f t="shared" si="0"/>
        <v>1606.2672953894116</v>
      </c>
      <c r="L14" s="93">
        <f t="shared" si="1"/>
        <v>270.4670933354364</v>
      </c>
      <c r="M14" s="94">
        <f t="shared" si="14"/>
        <v>6.9813170079773113E-2</v>
      </c>
      <c r="N14" s="94">
        <f t="shared" si="2"/>
        <v>3.999999999999996</v>
      </c>
      <c r="O14" s="94">
        <f t="shared" si="3"/>
        <v>239.99999999999977</v>
      </c>
      <c r="P14" s="95">
        <f t="shared" si="15"/>
        <v>0.12217304763960302</v>
      </c>
      <c r="Q14" s="96">
        <f t="shared" si="4"/>
        <v>6.9999999999999973</v>
      </c>
      <c r="R14" s="96">
        <f t="shared" si="5"/>
        <v>419.99999999999983</v>
      </c>
      <c r="S14" s="91">
        <f t="shared" si="16"/>
        <v>441.86292991641295</v>
      </c>
      <c r="T14" s="97">
        <f t="shared" si="6"/>
        <v>443.27958001988867</v>
      </c>
      <c r="U14" s="98">
        <f t="shared" si="7"/>
        <v>441.72481714990806</v>
      </c>
      <c r="V14" s="99">
        <f t="shared" si="8"/>
        <v>0.99867232482716084</v>
      </c>
      <c r="W14" s="99">
        <f t="shared" si="17"/>
        <v>0.48869219055841229</v>
      </c>
      <c r="X14" s="99">
        <f t="shared" si="9"/>
        <v>0.10787239832562649</v>
      </c>
      <c r="Y14" s="100">
        <f t="shared" si="10"/>
        <v>0.99640405258006981</v>
      </c>
      <c r="Z14" s="91" t="s">
        <v>1</v>
      </c>
      <c r="AA14" s="91">
        <f t="shared" si="11"/>
        <v>441.86292991641295</v>
      </c>
      <c r="AB14" s="92">
        <v>12</v>
      </c>
      <c r="AC14" s="92" t="s">
        <v>41</v>
      </c>
      <c r="AD14" s="91">
        <v>2</v>
      </c>
      <c r="AE14" s="6">
        <f>LOOKUP(AD14,'SPEED CURVES'!$A$38:$A$50,'SPEED CURVES'!$D$38:$D$50)</f>
        <v>0.6561679800000001</v>
      </c>
      <c r="AF14" s="91">
        <f t="shared" si="18"/>
        <v>12.062312967030131</v>
      </c>
      <c r="AG14" s="91" t="s">
        <v>41</v>
      </c>
      <c r="AH14" s="91">
        <v>3</v>
      </c>
      <c r="AI14" s="91">
        <f t="shared" si="12"/>
        <v>9.062312967030131</v>
      </c>
      <c r="AJ14" s="101">
        <f t="shared" ref="AJ14:AJ22" si="19">((AA14/AI14)/24)</f>
        <v>2.0315956290811532</v>
      </c>
    </row>
    <row r="15" spans="1:36" s="65" customFormat="1" x14ac:dyDescent="0.25">
      <c r="A15"/>
      <c r="B15" s="6">
        <v>5</v>
      </c>
      <c r="C15" s="62">
        <v>20</v>
      </c>
      <c r="D15" s="62">
        <v>0</v>
      </c>
      <c r="E15" s="62">
        <v>0</v>
      </c>
      <c r="F15" s="62" t="s">
        <v>11</v>
      </c>
      <c r="G15" s="62">
        <v>50</v>
      </c>
      <c r="H15" s="61">
        <v>0</v>
      </c>
      <c r="I15" s="61">
        <v>0</v>
      </c>
      <c r="J15" s="61" t="s">
        <v>20</v>
      </c>
      <c r="K15" s="51">
        <f t="shared" si="0"/>
        <v>1217.1785088951947</v>
      </c>
      <c r="L15" s="51">
        <f t="shared" si="1"/>
        <v>389.08878649421695</v>
      </c>
      <c r="M15" s="57">
        <f t="shared" si="14"/>
        <v>0.10471975511965981</v>
      </c>
      <c r="N15" s="57">
        <f t="shared" si="2"/>
        <v>6.0000000000000018</v>
      </c>
      <c r="O15" s="57">
        <f t="shared" si="3"/>
        <v>360.00000000000011</v>
      </c>
      <c r="P15" s="54">
        <f t="shared" si="15"/>
        <v>5.2359877559829848E-2</v>
      </c>
      <c r="Q15" s="18">
        <f t="shared" si="4"/>
        <v>2.9999999999999978</v>
      </c>
      <c r="R15" s="18">
        <f t="shared" si="5"/>
        <v>179.99999999999986</v>
      </c>
      <c r="S15" s="6">
        <f t="shared" si="16"/>
        <v>396.51692717203116</v>
      </c>
      <c r="T15" s="14">
        <f t="shared" si="6"/>
        <v>396.65672698408406</v>
      </c>
      <c r="U15" s="4">
        <f t="shared" si="7"/>
        <v>396.29971688286099</v>
      </c>
      <c r="V15" s="58">
        <f t="shared" si="8"/>
        <v>0.43329847974462188</v>
      </c>
      <c r="W15" s="59">
        <f t="shared" si="17"/>
        <v>0.4014257279586958</v>
      </c>
      <c r="X15" s="59">
        <f t="shared" si="9"/>
        <v>4.8197521419998897E-2</v>
      </c>
      <c r="Y15" s="60">
        <f t="shared" si="10"/>
        <v>0.43134706238684756</v>
      </c>
      <c r="Z15" s="63" t="s">
        <v>1</v>
      </c>
      <c r="AA15" s="63">
        <f t="shared" si="11"/>
        <v>396.51692717203116</v>
      </c>
      <c r="AB15" s="11">
        <v>12</v>
      </c>
      <c r="AC15" s="62" t="s">
        <v>41</v>
      </c>
      <c r="AD15" s="6">
        <v>2</v>
      </c>
      <c r="AE15" s="6">
        <f>LOOKUP(AD15,'SPEED CURVES'!$A$38:$A$50,'SPEED CURVES'!$D$38:$D$50)</f>
        <v>0.6561679800000001</v>
      </c>
      <c r="AF15" s="61">
        <f t="shared" si="18"/>
        <v>12.062312967030131</v>
      </c>
      <c r="AG15" s="61" t="s">
        <v>41</v>
      </c>
      <c r="AH15" s="61">
        <v>7</v>
      </c>
      <c r="AI15" s="61">
        <f t="shared" si="12"/>
        <v>5.062312967030131</v>
      </c>
      <c r="AJ15" s="64">
        <f t="shared" si="19"/>
        <v>3.2636343781527462</v>
      </c>
    </row>
    <row r="16" spans="1:36" s="65" customFormat="1" x14ac:dyDescent="0.25">
      <c r="A16"/>
      <c r="B16" s="6">
        <v>6</v>
      </c>
      <c r="C16" s="62">
        <v>13</v>
      </c>
      <c r="D16" s="62">
        <v>0</v>
      </c>
      <c r="E16" s="62">
        <v>0</v>
      </c>
      <c r="F16" s="62" t="s">
        <v>11</v>
      </c>
      <c r="G16" s="62">
        <v>50</v>
      </c>
      <c r="H16" s="61">
        <v>0</v>
      </c>
      <c r="I16" s="61">
        <v>0</v>
      </c>
      <c r="J16" s="61" t="s">
        <v>20</v>
      </c>
      <c r="K16" s="51">
        <f t="shared" si="0"/>
        <v>781.54491781463332</v>
      </c>
      <c r="L16" s="51">
        <f t="shared" si="1"/>
        <v>435.63359108056136</v>
      </c>
      <c r="M16" s="57">
        <f t="shared" si="14"/>
        <v>0.12217304763960304</v>
      </c>
      <c r="N16" s="57">
        <f t="shared" si="2"/>
        <v>6.9999999999999991</v>
      </c>
      <c r="O16" s="57">
        <f t="shared" si="3"/>
        <v>419.99999999999994</v>
      </c>
      <c r="P16" s="54">
        <f t="shared" si="15"/>
        <v>0</v>
      </c>
      <c r="Q16" s="18">
        <f t="shared" si="4"/>
        <v>0</v>
      </c>
      <c r="R16" s="18">
        <f t="shared" si="5"/>
        <v>0</v>
      </c>
      <c r="S16" s="6">
        <f t="shared" si="16"/>
        <v>420.2832251283325</v>
      </c>
      <c r="T16" s="14">
        <f t="shared" si="6"/>
        <v>419.99999999999994</v>
      </c>
      <c r="U16" s="4">
        <f t="shared" si="7"/>
        <v>419.99999999999994</v>
      </c>
      <c r="V16" s="58">
        <f t="shared" si="8"/>
        <v>0</v>
      </c>
      <c r="W16" s="59">
        <f t="shared" si="17"/>
        <v>0.28797932657906439</v>
      </c>
      <c r="X16" s="59">
        <f t="shared" si="9"/>
        <v>0</v>
      </c>
      <c r="Y16" s="60">
        <f t="shared" si="10"/>
        <v>0</v>
      </c>
      <c r="Z16" s="63" t="s">
        <v>1</v>
      </c>
      <c r="AA16" s="63">
        <f t="shared" si="11"/>
        <v>420.2832251283325</v>
      </c>
      <c r="AB16" s="11">
        <v>12</v>
      </c>
      <c r="AC16" s="62" t="s">
        <v>41</v>
      </c>
      <c r="AD16" s="6">
        <v>2</v>
      </c>
      <c r="AE16" s="6">
        <f>LOOKUP(AD16,'SPEED CURVES'!$A$38:$A$50,'SPEED CURVES'!$D$38:$D$50)</f>
        <v>0.6561679800000001</v>
      </c>
      <c r="AF16" s="61">
        <f t="shared" si="18"/>
        <v>12.062312967030131</v>
      </c>
      <c r="AG16" s="61" t="s">
        <v>41</v>
      </c>
      <c r="AH16" s="61">
        <v>7</v>
      </c>
      <c r="AI16" s="61">
        <f t="shared" si="12"/>
        <v>5.062312967030131</v>
      </c>
      <c r="AJ16" s="64">
        <f t="shared" si="19"/>
        <v>3.4592489956794137</v>
      </c>
    </row>
    <row r="17" spans="2:36" x14ac:dyDescent="0.25">
      <c r="B17" s="6">
        <v>7</v>
      </c>
      <c r="C17" s="11">
        <v>46</v>
      </c>
      <c r="D17" s="11">
        <v>0</v>
      </c>
      <c r="E17" s="11">
        <v>0</v>
      </c>
      <c r="F17" s="11" t="s">
        <v>11</v>
      </c>
      <c r="G17" s="11">
        <v>26</v>
      </c>
      <c r="H17" s="6">
        <v>60</v>
      </c>
      <c r="I17" s="6">
        <v>0</v>
      </c>
      <c r="J17" s="6" t="s">
        <v>20</v>
      </c>
      <c r="K17" s="51">
        <f t="shared" si="0"/>
        <v>3098.7877797134579</v>
      </c>
      <c r="L17" s="51">
        <f t="shared" si="1"/>
        <v>2317.2428618988247</v>
      </c>
      <c r="M17" s="57">
        <f t="shared" si="14"/>
        <v>0.57595865315812877</v>
      </c>
      <c r="N17" s="57">
        <f t="shared" si="2"/>
        <v>33</v>
      </c>
      <c r="O17" s="57">
        <f t="shared" si="3"/>
        <v>1980</v>
      </c>
      <c r="P17" s="54">
        <f t="shared" si="15"/>
        <v>0.4014257279586958</v>
      </c>
      <c r="Q17" s="18">
        <f t="shared" si="4"/>
        <v>23</v>
      </c>
      <c r="R17" s="18">
        <f t="shared" si="5"/>
        <v>1380</v>
      </c>
      <c r="S17" s="6">
        <f t="shared" si="16"/>
        <v>2299.0635815486535</v>
      </c>
      <c r="T17" s="14">
        <f t="shared" si="6"/>
        <v>2304.5212541684546</v>
      </c>
      <c r="U17" s="4">
        <f t="shared" si="7"/>
        <v>2315.819348509152</v>
      </c>
      <c r="V17" s="58">
        <f t="shared" si="8"/>
        <v>0.53713018994337525</v>
      </c>
      <c r="W17" s="59">
        <f t="shared" si="17"/>
        <v>0.51487212933832727</v>
      </c>
      <c r="X17" s="59">
        <f t="shared" si="9"/>
        <v>0.34938316882567155</v>
      </c>
      <c r="Y17" s="60">
        <f t="shared" si="10"/>
        <v>0.54526675407189096</v>
      </c>
      <c r="Z17" s="6" t="s">
        <v>1</v>
      </c>
      <c r="AA17" s="6">
        <f t="shared" si="11"/>
        <v>2299.0635815486535</v>
      </c>
      <c r="AB17" s="11">
        <v>12</v>
      </c>
      <c r="AC17" s="11" t="s">
        <v>25</v>
      </c>
      <c r="AD17" s="6">
        <v>2</v>
      </c>
      <c r="AE17" s="6">
        <f>LOOKUP(AD17,'SPEED CURVES'!$A$38:$A$50,'SPEED CURVES'!$D$38:$D$50)</f>
        <v>0.6561679800000001</v>
      </c>
      <c r="AF17" s="6">
        <f t="shared" si="18"/>
        <v>12.050163856034239</v>
      </c>
      <c r="AG17" s="6" t="s">
        <v>41</v>
      </c>
      <c r="AH17" s="6">
        <v>11</v>
      </c>
      <c r="AI17" s="6">
        <f t="shared" si="12"/>
        <v>1.0501638560342386</v>
      </c>
      <c r="AJ17" s="45">
        <f t="shared" si="19"/>
        <v>91.218446861817498</v>
      </c>
    </row>
    <row r="18" spans="2:36" x14ac:dyDescent="0.25">
      <c r="B18" s="6">
        <v>8</v>
      </c>
      <c r="C18" s="11">
        <v>55</v>
      </c>
      <c r="D18" s="11">
        <v>0</v>
      </c>
      <c r="E18" s="11">
        <v>0</v>
      </c>
      <c r="F18" s="11" t="s">
        <v>11</v>
      </c>
      <c r="G18" s="11">
        <v>5</v>
      </c>
      <c r="H18" s="6">
        <v>90</v>
      </c>
      <c r="I18" s="6">
        <v>0</v>
      </c>
      <c r="J18" s="6" t="s">
        <v>20</v>
      </c>
      <c r="K18" s="51">
        <f t="shared" si="0"/>
        <v>3948.8763805603621</v>
      </c>
      <c r="L18" s="51">
        <f t="shared" si="1"/>
        <v>850.08860084690423</v>
      </c>
      <c r="M18" s="57">
        <f t="shared" si="14"/>
        <v>0.15707963267948966</v>
      </c>
      <c r="N18" s="57">
        <f t="shared" si="2"/>
        <v>9</v>
      </c>
      <c r="O18" s="57">
        <f t="shared" si="3"/>
        <v>540</v>
      </c>
      <c r="P18" s="54">
        <f t="shared" si="15"/>
        <v>0.35779249665883756</v>
      </c>
      <c r="Q18" s="18">
        <f t="shared" si="4"/>
        <v>20.5</v>
      </c>
      <c r="R18" s="18">
        <f t="shared" si="5"/>
        <v>1230</v>
      </c>
      <c r="S18" s="6">
        <f t="shared" si="16"/>
        <v>945.62721970373525</v>
      </c>
      <c r="T18" s="14">
        <f t="shared" si="6"/>
        <v>949.77738005127446</v>
      </c>
      <c r="U18" s="4">
        <f t="shared" si="7"/>
        <v>950.63796234287463</v>
      </c>
      <c r="V18" s="58">
        <f t="shared" si="8"/>
        <v>0.96604893684663407</v>
      </c>
      <c r="W18" s="59">
        <f t="shared" si="17"/>
        <v>0.88139127225713643</v>
      </c>
      <c r="X18" s="59">
        <f t="shared" si="9"/>
        <v>0.22758401450349119</v>
      </c>
      <c r="Y18" s="60">
        <f t="shared" si="10"/>
        <v>0.96667445871221169</v>
      </c>
      <c r="Z18" s="6" t="s">
        <v>1</v>
      </c>
      <c r="AA18" s="6">
        <f t="shared" si="11"/>
        <v>945.62721970373525</v>
      </c>
      <c r="AB18" s="11">
        <v>12</v>
      </c>
      <c r="AC18" s="11" t="s">
        <v>41</v>
      </c>
      <c r="AD18" s="6">
        <v>2</v>
      </c>
      <c r="AE18" s="6">
        <f>LOOKUP(AD18,'SPEED CURVES'!$A$38:$A$50,'SPEED CURVES'!$D$38:$D$50)</f>
        <v>0.6561679800000001</v>
      </c>
      <c r="AF18" s="6">
        <f t="shared" si="18"/>
        <v>12.062312967030131</v>
      </c>
      <c r="AG18" s="6" t="s">
        <v>41</v>
      </c>
      <c r="AH18" s="6">
        <v>5</v>
      </c>
      <c r="AI18" s="6">
        <f t="shared" si="12"/>
        <v>7.062312967030131</v>
      </c>
      <c r="AJ18" s="45">
        <f t="shared" si="19"/>
        <v>5.57906939812261</v>
      </c>
    </row>
    <row r="19" spans="2:36" x14ac:dyDescent="0.25">
      <c r="B19" s="6">
        <v>9</v>
      </c>
      <c r="C19" s="11">
        <v>64</v>
      </c>
      <c r="D19" s="11">
        <v>0</v>
      </c>
      <c r="E19" s="11">
        <v>0</v>
      </c>
      <c r="F19" s="11" t="s">
        <v>11</v>
      </c>
      <c r="G19" s="11">
        <v>10</v>
      </c>
      <c r="H19" s="6">
        <v>120</v>
      </c>
      <c r="I19" s="6">
        <v>0</v>
      </c>
      <c r="J19" s="6" t="s">
        <v>20</v>
      </c>
      <c r="K19" s="51">
        <f t="shared" si="0"/>
        <v>5018.4694150588111</v>
      </c>
      <c r="L19" s="51">
        <f t="shared" si="1"/>
        <v>1069.593034498449</v>
      </c>
      <c r="M19" s="57">
        <f t="shared" si="14"/>
        <v>0.15707963267948966</v>
      </c>
      <c r="N19" s="57">
        <f t="shared" si="2"/>
        <v>9</v>
      </c>
      <c r="O19" s="57">
        <f t="shared" si="3"/>
        <v>540</v>
      </c>
      <c r="P19" s="54">
        <f t="shared" si="15"/>
        <v>9.5993108859688134E-2</v>
      </c>
      <c r="Q19" s="18">
        <f t="shared" si="4"/>
        <v>5.5000000000000009</v>
      </c>
      <c r="R19" s="18">
        <f t="shared" si="5"/>
        <v>330.00000000000006</v>
      </c>
      <c r="S19" s="6">
        <f t="shared" si="16"/>
        <v>565.25161172356889</v>
      </c>
      <c r="T19" s="14">
        <f t="shared" si="6"/>
        <v>565.11712678739423</v>
      </c>
      <c r="U19" s="4">
        <f t="shared" si="7"/>
        <v>565.37785257081566</v>
      </c>
      <c r="V19" s="58">
        <f t="shared" si="8"/>
        <v>0.29926268079168361</v>
      </c>
      <c r="W19" s="59">
        <f t="shared" si="17"/>
        <v>1.0384709049366261</v>
      </c>
      <c r="X19" s="59">
        <f t="shared" si="9"/>
        <v>4.872018532615479E-2</v>
      </c>
      <c r="Y19" s="60">
        <f t="shared" si="10"/>
        <v>0.30075376370784174</v>
      </c>
      <c r="Z19" s="6" t="s">
        <v>1</v>
      </c>
      <c r="AA19" s="6">
        <f t="shared" si="11"/>
        <v>565.25161172356889</v>
      </c>
      <c r="AB19" s="11">
        <v>12</v>
      </c>
      <c r="AC19" s="11" t="s">
        <v>25</v>
      </c>
      <c r="AD19" s="6">
        <v>2</v>
      </c>
      <c r="AE19" s="6">
        <f>LOOKUP(AD19,'SPEED CURVES'!$A$38:$A$50,'SPEED CURVES'!$D$38:$D$50)</f>
        <v>0.6561679800000001</v>
      </c>
      <c r="AF19" s="6">
        <f t="shared" si="18"/>
        <v>12.050163856034239</v>
      </c>
      <c r="AG19" s="6" t="s">
        <v>41</v>
      </c>
      <c r="AH19" s="6">
        <v>12</v>
      </c>
      <c r="AI19" s="6">
        <f t="shared" si="12"/>
        <v>5.0163856034238563E-2</v>
      </c>
      <c r="AJ19" s="45">
        <f t="shared" si="19"/>
        <v>469.50438723065628</v>
      </c>
    </row>
    <row r="20" spans="2:36" x14ac:dyDescent="0.25">
      <c r="B20" s="6">
        <v>10</v>
      </c>
      <c r="C20" s="11">
        <v>73</v>
      </c>
      <c r="D20" s="11">
        <v>0</v>
      </c>
      <c r="E20" s="11">
        <v>0</v>
      </c>
      <c r="F20" s="11" t="s">
        <v>11</v>
      </c>
      <c r="G20" s="11">
        <v>10</v>
      </c>
      <c r="H20" s="6">
        <v>150</v>
      </c>
      <c r="I20" s="6">
        <v>0</v>
      </c>
      <c r="J20" s="6" t="s">
        <v>20</v>
      </c>
      <c r="K20" s="51">
        <f t="shared" si="0"/>
        <v>6512.1250307167929</v>
      </c>
      <c r="L20" s="51">
        <f t="shared" si="1"/>
        <v>1493.6556156579818</v>
      </c>
      <c r="M20" s="57">
        <f t="shared" si="14"/>
        <v>0.15707963267948966</v>
      </c>
      <c r="N20" s="57">
        <f t="shared" si="2"/>
        <v>9</v>
      </c>
      <c r="O20" s="57">
        <f t="shared" si="3"/>
        <v>540</v>
      </c>
      <c r="P20" s="54">
        <f t="shared" si="15"/>
        <v>8.7266462599716321E-3</v>
      </c>
      <c r="Q20" s="18">
        <f t="shared" si="4"/>
        <v>0.49999999999999911</v>
      </c>
      <c r="R20" s="18">
        <f t="shared" si="5"/>
        <v>29.999999999999947</v>
      </c>
      <c r="S20" s="6">
        <f t="shared" si="16"/>
        <v>540.47145425647716</v>
      </c>
      <c r="T20" s="14">
        <f t="shared" si="6"/>
        <v>540.10890843792913</v>
      </c>
      <c r="U20" s="4">
        <f t="shared" si="7"/>
        <v>540.11192435852718</v>
      </c>
      <c r="V20" s="58">
        <f t="shared" si="8"/>
        <v>2.0082250961385804E-2</v>
      </c>
      <c r="W20" s="59">
        <f t="shared" si="17"/>
        <v>1.1955505376161157</v>
      </c>
      <c r="X20" s="59">
        <f t="shared" si="9"/>
        <v>3.1983265594686043E-3</v>
      </c>
      <c r="Y20" s="60">
        <f t="shared" si="10"/>
        <v>2.0358366199081476E-2</v>
      </c>
      <c r="Z20" s="6" t="s">
        <v>1</v>
      </c>
      <c r="AA20" s="6">
        <f t="shared" si="11"/>
        <v>540.47145425647716</v>
      </c>
      <c r="AB20" s="11">
        <v>12</v>
      </c>
      <c r="AC20" s="11" t="s">
        <v>44</v>
      </c>
      <c r="AD20" s="6">
        <v>2</v>
      </c>
      <c r="AE20" s="6">
        <f>LOOKUP(AD20,'SPEED CURVES'!$A$38:$A$50,'SPEED CURVES'!$D$38:$D$50)</f>
        <v>0.6561679800000001</v>
      </c>
      <c r="AF20" s="6">
        <f t="shared" si="18"/>
        <v>12.128110533653647</v>
      </c>
      <c r="AG20" s="6" t="s">
        <v>41</v>
      </c>
      <c r="AH20" s="6">
        <v>3</v>
      </c>
      <c r="AI20" s="6">
        <f t="shared" si="12"/>
        <v>9.128110533653647</v>
      </c>
      <c r="AJ20" s="45">
        <f t="shared" si="19"/>
        <v>2.4670652096430552</v>
      </c>
    </row>
    <row r="21" spans="2:36" x14ac:dyDescent="0.25">
      <c r="B21" s="6">
        <v>11</v>
      </c>
      <c r="C21" s="11">
        <v>82</v>
      </c>
      <c r="D21" s="11">
        <v>0</v>
      </c>
      <c r="E21" s="11">
        <v>0</v>
      </c>
      <c r="F21" s="11" t="s">
        <v>11</v>
      </c>
      <c r="G21" s="11">
        <v>10</v>
      </c>
      <c r="H21" s="6">
        <v>180</v>
      </c>
      <c r="I21" s="6">
        <v>0</v>
      </c>
      <c r="J21" s="6" t="s">
        <v>20</v>
      </c>
      <c r="K21" s="51">
        <f t="shared" si="0"/>
        <v>9122.365134155365</v>
      </c>
      <c r="L21" s="51">
        <f t="shared" si="1"/>
        <v>2610.2401034385721</v>
      </c>
      <c r="M21" s="57">
        <f t="shared" si="14"/>
        <v>0.15707963267948966</v>
      </c>
      <c r="N21" s="57">
        <f t="shared" si="2"/>
        <v>9</v>
      </c>
      <c r="O21" s="57">
        <f t="shared" si="3"/>
        <v>540</v>
      </c>
      <c r="P21" s="54">
        <f t="shared" si="15"/>
        <v>8.7266462599716599E-3</v>
      </c>
      <c r="Q21" s="18">
        <f t="shared" si="4"/>
        <v>0.50000000000000067</v>
      </c>
      <c r="R21" s="18">
        <f t="shared" si="5"/>
        <v>30.000000000000039</v>
      </c>
      <c r="S21" s="6">
        <f t="shared" si="16"/>
        <v>540.39821668234185</v>
      </c>
      <c r="T21" s="14">
        <f t="shared" si="6"/>
        <v>540.03566407929645</v>
      </c>
      <c r="U21" s="4">
        <f t="shared" si="7"/>
        <v>540.03903701106049</v>
      </c>
      <c r="V21" s="58">
        <f t="shared" si="8"/>
        <v>1.1492689553623541E-2</v>
      </c>
      <c r="W21" s="59">
        <f t="shared" si="17"/>
        <v>1.3526301702956054</v>
      </c>
      <c r="X21" s="59">
        <f t="shared" si="9"/>
        <v>1.8887919474826556E-3</v>
      </c>
      <c r="Y21" s="60">
        <f t="shared" si="10"/>
        <v>1.2023843522756846E-2</v>
      </c>
      <c r="Z21" s="6" t="s">
        <v>1</v>
      </c>
      <c r="AA21" s="6">
        <f t="shared" si="11"/>
        <v>540.39821668234185</v>
      </c>
      <c r="AB21" s="11">
        <v>12</v>
      </c>
      <c r="AC21" s="11" t="s">
        <v>25</v>
      </c>
      <c r="AD21" s="6">
        <v>2</v>
      </c>
      <c r="AE21" s="6">
        <f>LOOKUP(AD21,'SPEED CURVES'!$A$38:$A$50,'SPEED CURVES'!$D$38:$D$50)</f>
        <v>0.6561679800000001</v>
      </c>
      <c r="AF21" s="6">
        <f t="shared" si="18"/>
        <v>12.050163856034239</v>
      </c>
      <c r="AG21" s="6" t="s">
        <v>41</v>
      </c>
      <c r="AH21" s="6">
        <v>9</v>
      </c>
      <c r="AI21" s="6">
        <f t="shared" si="12"/>
        <v>3.0501638560342386</v>
      </c>
      <c r="AJ21" s="45">
        <f t="shared" si="19"/>
        <v>7.382092708632336</v>
      </c>
    </row>
    <row r="22" spans="2:36" x14ac:dyDescent="0.25">
      <c r="B22" s="6">
        <v>12</v>
      </c>
      <c r="C22" s="11">
        <v>34</v>
      </c>
      <c r="D22" s="11">
        <v>0</v>
      </c>
      <c r="E22" s="11">
        <v>0</v>
      </c>
      <c r="F22" s="11" t="s">
        <v>11</v>
      </c>
      <c r="G22" s="11">
        <v>10</v>
      </c>
      <c r="H22" s="6">
        <v>210</v>
      </c>
      <c r="I22" s="6">
        <v>0</v>
      </c>
      <c r="J22" s="6" t="s">
        <v>20</v>
      </c>
      <c r="K22" s="51">
        <f t="shared" si="0"/>
        <v>2158.4596487636159</v>
      </c>
      <c r="L22" s="51">
        <f t="shared" si="1"/>
        <v>6963.9054853917496</v>
      </c>
      <c r="M22" s="57">
        <f t="shared" si="14"/>
        <v>0.83775804095727813</v>
      </c>
      <c r="N22" s="57">
        <f t="shared" si="2"/>
        <v>48</v>
      </c>
      <c r="O22" s="57">
        <f t="shared" si="3"/>
        <v>2880</v>
      </c>
      <c r="P22" s="54">
        <f t="shared" si="15"/>
        <v>8.7266462599716321E-3</v>
      </c>
      <c r="Q22" s="18">
        <f t="shared" si="4"/>
        <v>0.49999999999999911</v>
      </c>
      <c r="R22" s="18">
        <f t="shared" si="5"/>
        <v>29.999999999999947</v>
      </c>
      <c r="S22" s="6">
        <f t="shared" si="16"/>
        <v>2881.9624520090888</v>
      </c>
      <c r="T22" s="14">
        <f t="shared" si="6"/>
        <v>2880.0267237407638</v>
      </c>
      <c r="U22" s="4">
        <f t="shared" si="7"/>
        <v>2880.0438769199241</v>
      </c>
      <c r="V22" s="58">
        <f t="shared" si="8"/>
        <v>4.3079008585919449E-3</v>
      </c>
      <c r="W22" s="59">
        <f t="shared" si="17"/>
        <v>1.0122909661567112</v>
      </c>
      <c r="X22" s="59">
        <f t="shared" si="9"/>
        <v>4.6244179653076164E-3</v>
      </c>
      <c r="Y22" s="60">
        <f t="shared" si="10"/>
        <v>5.5199362714850476E-3</v>
      </c>
      <c r="Z22" s="6" t="s">
        <v>1</v>
      </c>
      <c r="AA22" s="6">
        <f t="shared" si="11"/>
        <v>2881.9624520090888</v>
      </c>
      <c r="AB22" s="11">
        <v>12</v>
      </c>
      <c r="AC22" s="11" t="s">
        <v>41</v>
      </c>
      <c r="AD22" s="6">
        <v>2</v>
      </c>
      <c r="AE22" s="6">
        <f>LOOKUP(AD22,'SPEED CURVES'!$A$38:$A$50,'SPEED CURVES'!$D$38:$D$50)</f>
        <v>0.6561679800000001</v>
      </c>
      <c r="AF22" s="6">
        <f t="shared" si="18"/>
        <v>12.062312967030131</v>
      </c>
      <c r="AG22" s="6" t="s">
        <v>41</v>
      </c>
      <c r="AH22" s="6">
        <v>2</v>
      </c>
      <c r="AI22" s="6">
        <f t="shared" si="12"/>
        <v>10.062312967030131</v>
      </c>
      <c r="AJ22" s="45">
        <f t="shared" si="19"/>
        <v>11.93381374910205</v>
      </c>
    </row>
  </sheetData>
  <sheetProtection formatCells="0" formatColumns="0" formatRows="0" insertColumns="0"/>
  <dataConsolidate link="1"/>
  <mergeCells count="9">
    <mergeCell ref="W8:Y8"/>
    <mergeCell ref="C8:F8"/>
    <mergeCell ref="G8:J8"/>
    <mergeCell ref="C7:J7"/>
    <mergeCell ref="S8:S9"/>
    <mergeCell ref="S7:U7"/>
    <mergeCell ref="T8:U8"/>
    <mergeCell ref="M8:O8"/>
    <mergeCell ref="P8:R8"/>
  </mergeCells>
  <dataValidations count="12">
    <dataValidation type="whole" allowBlank="1" showInputMessage="1" showErrorMessage="1" errorTitle="Longitude" error="Veuillez entrer une valeur comprise entre 0 et 180 degrés." sqref="G11">
      <formula1>0</formula1>
      <formula2>180</formula2>
    </dataValidation>
    <dataValidation type="whole" allowBlank="1" showInputMessage="1" showErrorMessage="1" errorTitle="Longitude" error="Veuillez entrer une valeur comprise entre 0 et 360 degrés." sqref="G12:G22">
      <formula1>0</formula1>
      <formula2>360</formula2>
    </dataValidation>
    <dataValidation type="list" allowBlank="1" showInputMessage="1" showErrorMessage="1" sqref="Z12:Z22">
      <formula1>"Ortho,Mercator,Plane"</formula1>
    </dataValidation>
    <dataValidation type="list" allowBlank="1" showInputMessage="1" showErrorMessage="1" sqref="AC12:AC22 AG12:AG22">
      <formula1>"FOLLOW,HEAD,BEAM"</formula1>
    </dataValidation>
    <dataValidation type="whole" allowBlank="1" showInputMessage="1" showErrorMessage="1" errorTitle="WIND FORCE" error="Veuillez saisir une valeur comprise entre 0 et 12. " sqref="AD12:AD22">
      <formula1>0</formula1>
      <formula2>12</formula2>
    </dataValidation>
    <dataValidation type="list" allowBlank="1" showInputMessage="1" showErrorMessage="1" errorTitle="Longitude" error="Veuillez entrer une longitude Est ou Ouest." sqref="J11:J22">
      <formula1>"E,W"</formula1>
    </dataValidation>
    <dataValidation type="whole" allowBlank="1" showInputMessage="1" showErrorMessage="1" errorTitle="Latitude" error="Veuillez entrer une valeur comprise entre 0 et 90 degrés." sqref="C11:C22">
      <formula1>0</formula1>
      <formula2>90</formula2>
    </dataValidation>
    <dataValidation type="whole" allowBlank="1" showInputMessage="1" showErrorMessage="1" errorTitle="Latitude" error="Veuillez entrer une valeur comprise entre 0 et 60 minutes." sqref="D11:D22">
      <formula1>0</formula1>
      <formula2>60</formula2>
    </dataValidation>
    <dataValidation type="whole" allowBlank="1" showInputMessage="1" showErrorMessage="1" errorTitle="Latitude" error="Veuillez entrer une valeur comprise entre 0 et 60 secondes." sqref="E11:E22">
      <formula1>0</formula1>
      <formula2>60</formula2>
    </dataValidation>
    <dataValidation type="whole" allowBlank="1" showInputMessage="1" showErrorMessage="1" errorTitle="Longitude" error="Veuillez entrer une valeur comprise entre 0 et 60 minutes." sqref="H11:H22">
      <formula1>0</formula1>
      <formula2>60</formula2>
    </dataValidation>
    <dataValidation type="whole" allowBlank="1" showInputMessage="1" showErrorMessage="1" errorTitle="Longitude" error="Veuillez entrer une valeur comprise entre 0 et 60 secondes." sqref="I11:I22">
      <formula1>0</formula1>
      <formula2>60</formula2>
    </dataValidation>
    <dataValidation type="list" allowBlank="1" showInputMessage="1" showErrorMessage="1" errorTitle="Latitude" error="Veuillez entrer une latitude Nord ou Sud." sqref="F11:F22">
      <formula1>"N,S"</formula1>
    </dataValidation>
  </dataValidations>
  <pageMargins left="0.7" right="0.7" top="0.75" bottom="0.75" header="0.3" footer="0.3"/>
  <pageSetup orientation="portrait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G52"/>
  <sheetViews>
    <sheetView topLeftCell="A34" workbookViewId="0">
      <selection activeCell="D40" sqref="D40"/>
    </sheetView>
  </sheetViews>
  <sheetFormatPr baseColWidth="10" defaultRowHeight="15" x14ac:dyDescent="0.25"/>
  <cols>
    <col min="1" max="1" width="18.7109375" customWidth="1"/>
    <col min="2" max="2" width="16" customWidth="1"/>
    <col min="3" max="5" width="13.7109375" customWidth="1"/>
  </cols>
  <sheetData>
    <row r="4" spans="1:4" ht="15.75" thickBot="1" x14ac:dyDescent="0.3"/>
    <row r="5" spans="1:4" ht="15.75" thickBot="1" x14ac:dyDescent="0.3">
      <c r="B5" s="116" t="s">
        <v>30</v>
      </c>
      <c r="C5" s="117"/>
      <c r="D5" s="118"/>
    </row>
    <row r="6" spans="1:4" x14ac:dyDescent="0.25">
      <c r="A6" s="69" t="s">
        <v>29</v>
      </c>
      <c r="B6" s="34" t="s">
        <v>27</v>
      </c>
      <c r="C6" s="34" t="s">
        <v>26</v>
      </c>
      <c r="D6" s="35" t="s">
        <v>28</v>
      </c>
    </row>
    <row r="7" spans="1:4" x14ac:dyDescent="0.25">
      <c r="A7" s="70">
        <v>0</v>
      </c>
      <c r="B7" s="33">
        <v>18</v>
      </c>
      <c r="C7" s="33">
        <v>18</v>
      </c>
      <c r="D7" s="36">
        <v>18</v>
      </c>
    </row>
    <row r="8" spans="1:4" x14ac:dyDescent="0.25">
      <c r="A8" s="70">
        <v>2</v>
      </c>
      <c r="B8" s="32">
        <v>18.428571430000002</v>
      </c>
      <c r="C8" s="32">
        <v>18.14285714</v>
      </c>
      <c r="D8" s="36">
        <v>18</v>
      </c>
    </row>
    <row r="9" spans="1:4" x14ac:dyDescent="0.25">
      <c r="A9" s="70">
        <v>4</v>
      </c>
      <c r="B9" s="32">
        <v>18.571428569999998</v>
      </c>
      <c r="C9" s="32">
        <v>17.85714286</v>
      </c>
      <c r="D9" s="4">
        <v>17.714285709999999</v>
      </c>
    </row>
    <row r="10" spans="1:4" x14ac:dyDescent="0.25">
      <c r="A10" s="70">
        <v>6</v>
      </c>
      <c r="B10" s="32">
        <v>18.571428569999998</v>
      </c>
      <c r="C10" s="32">
        <v>17.428571430000002</v>
      </c>
      <c r="D10" s="4">
        <v>17.14285714</v>
      </c>
    </row>
    <row r="11" spans="1:4" x14ac:dyDescent="0.25">
      <c r="A11" s="70">
        <v>8</v>
      </c>
      <c r="B11" s="32">
        <v>18.35714286</v>
      </c>
      <c r="C11" s="32">
        <v>16.571428569999998</v>
      </c>
      <c r="D11" s="36">
        <v>16</v>
      </c>
    </row>
    <row r="12" spans="1:4" x14ac:dyDescent="0.25">
      <c r="A12" s="70">
        <v>10</v>
      </c>
      <c r="B12" s="33">
        <v>18</v>
      </c>
      <c r="C12" s="32">
        <v>15.71428571</v>
      </c>
      <c r="D12" s="4">
        <v>14.92857143</v>
      </c>
    </row>
    <row r="13" spans="1:4" x14ac:dyDescent="0.25">
      <c r="A13" s="70">
        <v>12</v>
      </c>
      <c r="B13" s="32">
        <v>17.64285714</v>
      </c>
      <c r="C13" s="32">
        <v>14.64285714</v>
      </c>
      <c r="D13" s="4">
        <v>13.57142857</v>
      </c>
    </row>
    <row r="14" spans="1:4" x14ac:dyDescent="0.25">
      <c r="A14" s="70">
        <v>14</v>
      </c>
      <c r="B14" s="32">
        <v>17.214285709999999</v>
      </c>
      <c r="C14" s="32">
        <v>13.71428571</v>
      </c>
      <c r="D14" s="4">
        <v>12.07142857</v>
      </c>
    </row>
    <row r="15" spans="1:4" x14ac:dyDescent="0.25">
      <c r="A15" s="70">
        <v>16</v>
      </c>
      <c r="B15" s="32">
        <v>16.571428569999998</v>
      </c>
      <c r="C15" s="32">
        <v>12.71428571</v>
      </c>
      <c r="D15" s="4">
        <v>10.71428571</v>
      </c>
    </row>
    <row r="16" spans="1:4" x14ac:dyDescent="0.25">
      <c r="A16" s="70">
        <v>18</v>
      </c>
      <c r="B16" s="32">
        <v>15.85714286</v>
      </c>
      <c r="C16" s="67">
        <v>11.64285714</v>
      </c>
      <c r="D16" s="4">
        <v>9.1428571430000005</v>
      </c>
    </row>
    <row r="17" spans="1:4" x14ac:dyDescent="0.25">
      <c r="A17" s="70">
        <v>20</v>
      </c>
      <c r="B17" s="66">
        <v>15.07142857</v>
      </c>
      <c r="C17" s="32">
        <v>10.57142857</v>
      </c>
      <c r="D17" s="29">
        <v>7.7142857139999998</v>
      </c>
    </row>
    <row r="18" spans="1:4" x14ac:dyDescent="0.25">
      <c r="A18" s="70">
        <v>22</v>
      </c>
      <c r="B18" s="32">
        <v>14.21428571</v>
      </c>
      <c r="C18" s="68">
        <v>9.7142857140000007</v>
      </c>
      <c r="D18" s="4">
        <v>6.3571428570000004</v>
      </c>
    </row>
    <row r="19" spans="1:4" x14ac:dyDescent="0.25">
      <c r="A19" s="70">
        <v>24</v>
      </c>
      <c r="B19" s="33">
        <v>14.8300865777273</v>
      </c>
      <c r="C19" s="33">
        <v>9.3625541093636393</v>
      </c>
      <c r="D19" s="36">
        <v>6.0389610381515197</v>
      </c>
    </row>
    <row r="20" spans="1:4" x14ac:dyDescent="0.25">
      <c r="A20" s="70">
        <v>26</v>
      </c>
      <c r="B20" s="32">
        <v>14.4642024616084</v>
      </c>
      <c r="C20" s="32">
        <v>8.5373792839580709</v>
      </c>
      <c r="D20" s="36">
        <v>4.8993506485851199</v>
      </c>
    </row>
    <row r="21" spans="1:4" x14ac:dyDescent="0.25">
      <c r="A21" s="70">
        <v>28</v>
      </c>
      <c r="B21" s="32">
        <v>14.098318345489499</v>
      </c>
      <c r="C21" s="32">
        <v>7.7122044585524696</v>
      </c>
      <c r="D21" s="4">
        <v>3.7597402590186202</v>
      </c>
    </row>
    <row r="22" spans="1:4" x14ac:dyDescent="0.25">
      <c r="A22" s="70">
        <v>30</v>
      </c>
      <c r="B22" s="32">
        <v>13.7324342293706</v>
      </c>
      <c r="C22" s="32">
        <v>6.8870296331468701</v>
      </c>
      <c r="D22" s="4">
        <v>2.6201298694522199</v>
      </c>
    </row>
    <row r="23" spans="1:4" x14ac:dyDescent="0.25">
      <c r="A23" s="70">
        <v>32</v>
      </c>
      <c r="B23" s="33">
        <v>13.3665501132517</v>
      </c>
      <c r="C23" s="33">
        <v>6.0618548077412697</v>
      </c>
      <c r="D23" s="36">
        <v>1.4805194798858199</v>
      </c>
    </row>
    <row r="24" spans="1:4" x14ac:dyDescent="0.25">
      <c r="A24" s="70">
        <v>34</v>
      </c>
      <c r="B24" s="32">
        <v>13.0006659971329</v>
      </c>
      <c r="C24" s="32">
        <v>5.2366799823356702</v>
      </c>
      <c r="D24" s="36">
        <v>0.34090909031932198</v>
      </c>
    </row>
    <row r="25" spans="1:4" x14ac:dyDescent="0.25">
      <c r="A25" s="70">
        <v>36</v>
      </c>
      <c r="B25" s="32">
        <v>12.634781881014</v>
      </c>
      <c r="C25" s="32">
        <v>4.4115051569300698</v>
      </c>
      <c r="D25" s="4">
        <v>-0.798701299247078</v>
      </c>
    </row>
    <row r="26" spans="1:4" x14ac:dyDescent="0.25">
      <c r="A26" s="70">
        <v>38</v>
      </c>
      <c r="B26" s="32">
        <v>12.268897764895099</v>
      </c>
      <c r="C26" s="32">
        <v>3.5863303315244699</v>
      </c>
      <c r="D26" s="4">
        <v>-1.9383116888134799</v>
      </c>
    </row>
    <row r="27" spans="1:4" x14ac:dyDescent="0.25">
      <c r="A27" s="70">
        <v>40</v>
      </c>
      <c r="B27" s="32">
        <v>11.9030136487762</v>
      </c>
      <c r="C27" s="32">
        <v>2.7611555061188602</v>
      </c>
      <c r="D27" s="36">
        <v>-3.0779220783799799</v>
      </c>
    </row>
    <row r="28" spans="1:4" x14ac:dyDescent="0.25">
      <c r="A28" s="70">
        <v>42</v>
      </c>
      <c r="B28" s="33">
        <v>11.5371295326573</v>
      </c>
      <c r="C28" s="32">
        <v>1.93598068071326</v>
      </c>
      <c r="D28" s="4">
        <v>-4.2175324679463797</v>
      </c>
    </row>
    <row r="29" spans="1:4" x14ac:dyDescent="0.25">
      <c r="A29" s="70">
        <v>44</v>
      </c>
      <c r="B29" s="32">
        <v>11.1712454165385</v>
      </c>
      <c r="C29" s="32">
        <v>1.1108058553076701</v>
      </c>
      <c r="D29" s="4">
        <v>-5.3571428575127804</v>
      </c>
    </row>
    <row r="30" spans="1:4" ht="15.75" thickBot="1" x14ac:dyDescent="0.3">
      <c r="A30" s="71">
        <v>46</v>
      </c>
      <c r="B30" s="37">
        <v>10.8053613004196</v>
      </c>
      <c r="C30" s="37">
        <v>0.28563102990216599</v>
      </c>
      <c r="D30" s="26">
        <v>-6.4967532470792797</v>
      </c>
    </row>
    <row r="31" spans="1:4" x14ac:dyDescent="0.25">
      <c r="A31" s="16"/>
      <c r="B31" s="16"/>
      <c r="C31" s="16"/>
      <c r="D31" s="16"/>
    </row>
    <row r="32" spans="1:4" x14ac:dyDescent="0.25">
      <c r="A32" s="16"/>
      <c r="B32" s="16"/>
      <c r="C32" s="16"/>
      <c r="D32" s="16"/>
    </row>
    <row r="33" spans="1:7" x14ac:dyDescent="0.25">
      <c r="A33" s="16"/>
      <c r="B33" s="16"/>
      <c r="C33" s="16"/>
      <c r="D33" s="16"/>
    </row>
    <row r="34" spans="1:7" x14ac:dyDescent="0.25">
      <c r="A34" s="16"/>
      <c r="B34" s="16"/>
      <c r="C34" s="16"/>
      <c r="D34" s="16"/>
    </row>
    <row r="35" spans="1:7" ht="15.75" thickBot="1" x14ac:dyDescent="0.3"/>
    <row r="36" spans="1:7" x14ac:dyDescent="0.25">
      <c r="A36" s="121" t="s">
        <v>31</v>
      </c>
      <c r="B36" s="119" t="s">
        <v>32</v>
      </c>
      <c r="C36" s="123" t="s">
        <v>33</v>
      </c>
      <c r="D36" s="125" t="s">
        <v>34</v>
      </c>
    </row>
    <row r="37" spans="1:7" x14ac:dyDescent="0.25">
      <c r="A37" s="122"/>
      <c r="B37" s="120"/>
      <c r="C37" s="124"/>
      <c r="D37" s="126"/>
    </row>
    <row r="38" spans="1:7" x14ac:dyDescent="0.25">
      <c r="A38" s="2">
        <v>0</v>
      </c>
      <c r="B38" s="2">
        <v>0</v>
      </c>
      <c r="C38" s="43">
        <v>0</v>
      </c>
      <c r="D38" s="41">
        <f>C38*3.2808399</f>
        <v>0</v>
      </c>
    </row>
    <row r="39" spans="1:7" x14ac:dyDescent="0.25">
      <c r="A39" s="2">
        <v>1</v>
      </c>
      <c r="B39" s="2">
        <v>2</v>
      </c>
      <c r="C39" s="43">
        <v>0.1</v>
      </c>
      <c r="D39" s="41">
        <f t="shared" ref="D39:D50" si="0">C39*3.2808399</f>
        <v>0.32808399000000005</v>
      </c>
    </row>
    <row r="40" spans="1:7" x14ac:dyDescent="0.25">
      <c r="A40" s="2">
        <v>2</v>
      </c>
      <c r="B40" s="2">
        <v>5</v>
      </c>
      <c r="C40" s="43">
        <v>0.2</v>
      </c>
      <c r="D40" s="41">
        <f t="shared" si="0"/>
        <v>0.6561679800000001</v>
      </c>
    </row>
    <row r="41" spans="1:7" x14ac:dyDescent="0.25">
      <c r="A41" s="2">
        <v>3</v>
      </c>
      <c r="B41" s="2">
        <v>9</v>
      </c>
      <c r="C41" s="43">
        <v>0.6</v>
      </c>
      <c r="D41" s="41">
        <f t="shared" si="0"/>
        <v>1.96850394</v>
      </c>
      <c r="G41" s="16"/>
    </row>
    <row r="42" spans="1:7" x14ac:dyDescent="0.25">
      <c r="A42" s="2">
        <v>4</v>
      </c>
      <c r="B42" s="2">
        <v>13</v>
      </c>
      <c r="C42" s="43">
        <v>1</v>
      </c>
      <c r="D42" s="41">
        <f t="shared" si="0"/>
        <v>3.2808399000000001</v>
      </c>
      <c r="G42" s="16"/>
    </row>
    <row r="43" spans="1:7" x14ac:dyDescent="0.25">
      <c r="A43" s="2">
        <v>5</v>
      </c>
      <c r="B43" s="2">
        <v>19</v>
      </c>
      <c r="C43" s="43">
        <v>2</v>
      </c>
      <c r="D43" s="41">
        <f t="shared" si="0"/>
        <v>6.5616798000000003</v>
      </c>
      <c r="G43" s="16"/>
    </row>
    <row r="44" spans="1:7" x14ac:dyDescent="0.25">
      <c r="A44" s="2">
        <v>6</v>
      </c>
      <c r="B44" s="2">
        <v>24</v>
      </c>
      <c r="C44" s="43">
        <v>3</v>
      </c>
      <c r="D44" s="41">
        <f t="shared" si="0"/>
        <v>9.8425197000000004</v>
      </c>
      <c r="G44" s="16"/>
    </row>
    <row r="45" spans="1:7" x14ac:dyDescent="0.25">
      <c r="A45" s="2">
        <v>7</v>
      </c>
      <c r="B45" s="2">
        <v>30</v>
      </c>
      <c r="C45" s="43">
        <v>4</v>
      </c>
      <c r="D45" s="41">
        <f t="shared" si="0"/>
        <v>13.123359600000001</v>
      </c>
      <c r="G45" s="16"/>
    </row>
    <row r="46" spans="1:7" x14ac:dyDescent="0.25">
      <c r="A46" s="2">
        <v>8</v>
      </c>
      <c r="B46" s="2">
        <v>37</v>
      </c>
      <c r="C46" s="43">
        <v>5.5</v>
      </c>
      <c r="D46" s="41">
        <f t="shared" si="0"/>
        <v>18.044619449999999</v>
      </c>
      <c r="G46" s="16"/>
    </row>
    <row r="47" spans="1:7" x14ac:dyDescent="0.25">
      <c r="A47" s="2">
        <v>9</v>
      </c>
      <c r="B47" s="2">
        <v>44</v>
      </c>
      <c r="C47" s="43">
        <v>7</v>
      </c>
      <c r="D47" s="41">
        <f t="shared" si="0"/>
        <v>22.965879300000001</v>
      </c>
      <c r="G47" s="16"/>
    </row>
    <row r="48" spans="1:7" x14ac:dyDescent="0.25">
      <c r="A48" s="2">
        <v>10</v>
      </c>
      <c r="B48" s="2">
        <v>52</v>
      </c>
      <c r="C48" s="43">
        <v>9</v>
      </c>
      <c r="D48" s="41">
        <f t="shared" si="0"/>
        <v>29.527559100000001</v>
      </c>
      <c r="G48" s="16"/>
    </row>
    <row r="49" spans="1:7" x14ac:dyDescent="0.25">
      <c r="A49" s="2">
        <v>11</v>
      </c>
      <c r="B49" s="2">
        <v>60</v>
      </c>
      <c r="C49" s="43">
        <v>11.5</v>
      </c>
      <c r="D49" s="41">
        <f t="shared" si="0"/>
        <v>37.72965885</v>
      </c>
      <c r="G49" s="16"/>
    </row>
    <row r="50" spans="1:7" ht="15.75" thickBot="1" x14ac:dyDescent="0.3">
      <c r="A50" s="25">
        <v>12</v>
      </c>
      <c r="B50" s="25">
        <v>64</v>
      </c>
      <c r="C50" s="44">
        <v>14</v>
      </c>
      <c r="D50" s="42">
        <f t="shared" si="0"/>
        <v>45.931758600000002</v>
      </c>
      <c r="G50" s="16"/>
    </row>
    <row r="51" spans="1:7" x14ac:dyDescent="0.25">
      <c r="G51" s="16"/>
    </row>
    <row r="52" spans="1:7" x14ac:dyDescent="0.25">
      <c r="G52" s="16"/>
    </row>
  </sheetData>
  <mergeCells count="5">
    <mergeCell ref="B5:D5"/>
    <mergeCell ref="B36:B37"/>
    <mergeCell ref="A36:A37"/>
    <mergeCell ref="C36:C37"/>
    <mergeCell ref="D36:D37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SPEED CURVES</vt:lpstr>
    </vt:vector>
  </TitlesOfParts>
  <Company>Cegep de Rimouski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Institut maritime du Québec</dc:creator>
  <cp:lastModifiedBy>gmb</cp:lastModifiedBy>
  <dcterms:created xsi:type="dcterms:W3CDTF">2016-01-25T19:12:46Z</dcterms:created>
  <dcterms:modified xsi:type="dcterms:W3CDTF">2016-02-12T08:41:00Z</dcterms:modified>
</cp:coreProperties>
</file>