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slicers/slicer2.xml" ContentType="application/vnd.ms-excel.slicer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20" windowHeight="9735" tabRatio="734" activeTab="4"/>
  </bookViews>
  <sheets>
    <sheet name="PAGE1" sheetId="1" r:id="rId1"/>
    <sheet name="PAGE2" sheetId="21" r:id="rId2"/>
    <sheet name="Clients" sheetId="4" r:id="rId3"/>
    <sheet name="factures" sheetId="22" r:id="rId4"/>
    <sheet name="main d'oeuvre" sheetId="23" r:id="rId5"/>
    <sheet name="fournisseurs" sheetId="24" r:id="rId6"/>
    <sheet name="BROUILLON" sheetId="9" r:id="rId7"/>
    <sheet name="CUBAGE BOIS" sheetId="10" r:id="rId8"/>
    <sheet name="attestation" sheetId="25" r:id="rId9"/>
  </sheets>
  <externalReferences>
    <externalReference r:id="rId10"/>
  </externalReferences>
  <definedNames>
    <definedName name="_xlnm._FilterDatabase" localSheetId="2" hidden="1">Clients!$B$2:$N$702</definedName>
    <definedName name="mois">[1]mois!$A$2:$A$13</definedName>
    <definedName name="Segment_clients">#N/A</definedName>
    <definedName name="Segment_mois">#N/A</definedName>
    <definedName name="_xlnm.Print_Area" localSheetId="0">PAGE1!$B$2:$AB$81</definedName>
    <definedName name="_xlnm.Print_Area" localSheetId="1">PAGE2!$B$2:$AB$81</definedName>
  </definedNames>
  <calcPr calcId="152511"/>
  <pivotCaches>
    <pivotCache cacheId="1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J101" i="22" l="1"/>
  <c r="J102" i="22"/>
  <c r="J103" i="22"/>
  <c r="J104" i="22"/>
  <c r="J105" i="22"/>
  <c r="J106" i="22"/>
  <c r="J107" i="22"/>
  <c r="J108" i="22"/>
  <c r="J109" i="22"/>
  <c r="J110" i="22"/>
  <c r="J111" i="22"/>
  <c r="J112" i="22"/>
  <c r="J113" i="22"/>
  <c r="J114" i="22"/>
  <c r="J115" i="22"/>
  <c r="J116" i="22"/>
  <c r="J117" i="22"/>
  <c r="J118" i="22"/>
  <c r="J119" i="22"/>
  <c r="J120" i="22"/>
  <c r="J121" i="22"/>
  <c r="J122" i="22"/>
  <c r="J123" i="22"/>
  <c r="J124" i="22"/>
  <c r="J125" i="22"/>
  <c r="J126" i="22"/>
  <c r="J127" i="22"/>
  <c r="J128" i="22"/>
  <c r="J129" i="22"/>
  <c r="J130" i="22"/>
  <c r="J131" i="22"/>
  <c r="J132" i="22"/>
  <c r="J133" i="22"/>
  <c r="J134" i="22"/>
  <c r="J135" i="22"/>
  <c r="J136" i="22"/>
  <c r="J137" i="22"/>
  <c r="J138" i="22"/>
  <c r="J139" i="22"/>
  <c r="J140" i="22"/>
  <c r="J141" i="22"/>
  <c r="J142" i="22"/>
  <c r="J143" i="22"/>
  <c r="J144" i="22"/>
  <c r="J145" i="22"/>
  <c r="J146" i="22"/>
  <c r="J147" i="22"/>
  <c r="J148" i="22"/>
  <c r="J149" i="22"/>
  <c r="J150" i="22"/>
  <c r="J151" i="22"/>
  <c r="J152" i="22"/>
  <c r="J153" i="22"/>
  <c r="J154" i="22"/>
  <c r="J155" i="22"/>
  <c r="J156" i="22"/>
  <c r="J157" i="22"/>
  <c r="J158" i="22"/>
  <c r="J159" i="22"/>
  <c r="J160" i="22"/>
  <c r="J161" i="22"/>
  <c r="J162" i="22"/>
  <c r="J163" i="22"/>
  <c r="J164" i="22"/>
  <c r="J165" i="22"/>
  <c r="J166" i="22"/>
  <c r="J167" i="22"/>
  <c r="J168" i="22"/>
  <c r="J169" i="22"/>
  <c r="J170" i="22"/>
  <c r="J171" i="22"/>
  <c r="J172" i="22"/>
  <c r="J173" i="22"/>
  <c r="J174" i="22"/>
  <c r="J175" i="22"/>
  <c r="J176" i="22"/>
  <c r="J177" i="22"/>
  <c r="J178" i="22"/>
  <c r="J179" i="22"/>
  <c r="J180" i="22"/>
  <c r="J181" i="22"/>
  <c r="J182" i="22"/>
  <c r="J183" i="22"/>
  <c r="J184" i="22"/>
  <c r="J185" i="22"/>
  <c r="J186" i="22"/>
  <c r="J187" i="22"/>
  <c r="J188" i="22"/>
  <c r="J189" i="22"/>
  <c r="J190" i="22"/>
  <c r="J191" i="22"/>
  <c r="J192" i="22"/>
  <c r="J193" i="22"/>
  <c r="J194" i="22"/>
  <c r="J195" i="22"/>
  <c r="J196" i="22"/>
  <c r="J197" i="22"/>
  <c r="J198" i="22"/>
  <c r="J199" i="22"/>
  <c r="J200" i="22"/>
  <c r="J201" i="22"/>
  <c r="J202" i="22"/>
  <c r="J203" i="22"/>
  <c r="J204" i="22"/>
  <c r="J205" i="22"/>
  <c r="J206" i="22"/>
  <c r="J207" i="22"/>
  <c r="J208" i="22"/>
  <c r="J209" i="22"/>
  <c r="J210" i="22"/>
  <c r="J211" i="22"/>
  <c r="J212" i="22"/>
  <c r="J213" i="22"/>
  <c r="J214" i="22"/>
  <c r="J215" i="22"/>
  <c r="J216" i="22"/>
  <c r="J217" i="22"/>
  <c r="J218" i="22"/>
  <c r="J219" i="22"/>
  <c r="J220" i="22"/>
  <c r="J221" i="22"/>
  <c r="J222" i="22"/>
  <c r="J223" i="22"/>
  <c r="J224" i="22"/>
  <c r="J225" i="22"/>
  <c r="J226" i="22"/>
  <c r="J227" i="22"/>
  <c r="J228" i="22"/>
  <c r="J229" i="22"/>
  <c r="J230" i="22"/>
  <c r="J231" i="22"/>
  <c r="J232" i="22"/>
  <c r="J233" i="22"/>
  <c r="J234" i="22"/>
  <c r="J235" i="22"/>
  <c r="J236" i="22"/>
  <c r="J237" i="22"/>
  <c r="J238" i="22"/>
  <c r="J239" i="22"/>
  <c r="J240" i="22"/>
  <c r="J241" i="22"/>
  <c r="J242" i="22"/>
  <c r="J243" i="22"/>
  <c r="J244" i="22"/>
  <c r="J245" i="22"/>
  <c r="J246" i="22"/>
  <c r="J247" i="22"/>
  <c r="J248" i="22"/>
  <c r="J249" i="22"/>
  <c r="J98" i="22"/>
  <c r="J99" i="22"/>
  <c r="J100" i="22"/>
  <c r="J97" i="22"/>
  <c r="R47" i="23" l="1"/>
  <c r="R45" i="23"/>
  <c r="R43" i="23"/>
  <c r="R41" i="23"/>
  <c r="R39" i="23"/>
  <c r="R37" i="23"/>
  <c r="R35" i="23"/>
  <c r="R33" i="23"/>
  <c r="R31" i="23"/>
  <c r="R29" i="23"/>
  <c r="R27" i="23"/>
  <c r="R25" i="23"/>
  <c r="R23" i="23"/>
  <c r="R21" i="23"/>
  <c r="T21" i="23" l="1"/>
  <c r="T47" i="23"/>
  <c r="T45" i="23"/>
  <c r="T43" i="23"/>
  <c r="T41" i="23"/>
  <c r="T39" i="23"/>
  <c r="T37" i="23"/>
  <c r="T35" i="23"/>
  <c r="T33" i="23"/>
  <c r="T31" i="23"/>
  <c r="T29" i="23"/>
  <c r="T27" i="23"/>
  <c r="T25" i="23"/>
  <c r="T23" i="23"/>
  <c r="T19" i="23"/>
  <c r="T11" i="23" s="1"/>
  <c r="T49" i="23" l="1"/>
  <c r="AE17" i="1" l="1"/>
  <c r="AE17" i="21" s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593" i="4"/>
  <c r="H594" i="4"/>
  <c r="H595" i="4"/>
  <c r="H596" i="4"/>
  <c r="H597" i="4"/>
  <c r="H598" i="4"/>
  <c r="H599" i="4"/>
  <c r="H600" i="4"/>
  <c r="H601" i="4"/>
  <c r="H602" i="4"/>
  <c r="H603" i="4"/>
  <c r="H604" i="4"/>
  <c r="H605" i="4"/>
  <c r="H606" i="4"/>
  <c r="H607" i="4"/>
  <c r="H608" i="4"/>
  <c r="H609" i="4"/>
  <c r="H610" i="4"/>
  <c r="H611" i="4"/>
  <c r="H612" i="4"/>
  <c r="H613" i="4"/>
  <c r="H614" i="4"/>
  <c r="H615" i="4"/>
  <c r="H616" i="4"/>
  <c r="H617" i="4"/>
  <c r="H618" i="4"/>
  <c r="H619" i="4"/>
  <c r="H620" i="4"/>
  <c r="H621" i="4"/>
  <c r="H622" i="4"/>
  <c r="H623" i="4"/>
  <c r="H624" i="4"/>
  <c r="H625" i="4"/>
  <c r="H626" i="4"/>
  <c r="H627" i="4"/>
  <c r="H628" i="4"/>
  <c r="H629" i="4"/>
  <c r="H630" i="4"/>
  <c r="H631" i="4"/>
  <c r="H632" i="4"/>
  <c r="H633" i="4"/>
  <c r="H634" i="4"/>
  <c r="H635" i="4"/>
  <c r="H636" i="4"/>
  <c r="H637" i="4"/>
  <c r="H638" i="4"/>
  <c r="H639" i="4"/>
  <c r="H640" i="4"/>
  <c r="H641" i="4"/>
  <c r="H642" i="4"/>
  <c r="H643" i="4"/>
  <c r="H644" i="4"/>
  <c r="H645" i="4"/>
  <c r="H646" i="4"/>
  <c r="H647" i="4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3" i="4"/>
  <c r="M11" i="25" l="1"/>
  <c r="S11" i="1"/>
  <c r="S15" i="1"/>
  <c r="L12" i="25"/>
  <c r="J60" i="25" s="1"/>
  <c r="Q12" i="25"/>
  <c r="C11" i="25"/>
  <c r="S13" i="1"/>
  <c r="O461" i="23" l="1"/>
  <c r="F469" i="23" s="1"/>
  <c r="Q465" i="23"/>
  <c r="Q464" i="23"/>
  <c r="P455" i="23"/>
  <c r="R455" i="23" s="1"/>
  <c r="X4" i="23" s="1"/>
  <c r="P454" i="23"/>
  <c r="R454" i="23" s="1"/>
  <c r="X3" i="23" s="1"/>
  <c r="O391" i="23"/>
  <c r="F418" i="23" s="1"/>
  <c r="O428" i="23"/>
  <c r="N450" i="23" s="1"/>
  <c r="Q432" i="23"/>
  <c r="Q431" i="23"/>
  <c r="P422" i="23"/>
  <c r="R422" i="23" s="1"/>
  <c r="W4" i="23" s="1"/>
  <c r="P421" i="23"/>
  <c r="R421" i="23" s="1"/>
  <c r="W3" i="23" s="1"/>
  <c r="O290" i="23"/>
  <c r="J381" i="23" s="1"/>
  <c r="Q395" i="23"/>
  <c r="Q394" i="23"/>
  <c r="P386" i="23"/>
  <c r="R386" i="23" s="1"/>
  <c r="U4" i="23" s="1"/>
  <c r="P385" i="23"/>
  <c r="R385" i="23" s="1"/>
  <c r="U3" i="23" s="1"/>
  <c r="Q294" i="23"/>
  <c r="Q293" i="23"/>
  <c r="P287" i="23"/>
  <c r="R287" i="23" s="1"/>
  <c r="T4" i="23" s="1"/>
  <c r="P286" i="23"/>
  <c r="R286" i="23" s="1"/>
  <c r="T3" i="23" s="1"/>
  <c r="O167" i="23"/>
  <c r="J283" i="23" s="1"/>
  <c r="Q171" i="23"/>
  <c r="Q170" i="23"/>
  <c r="P164" i="23"/>
  <c r="R164" i="23" s="1"/>
  <c r="S4" i="23" s="1"/>
  <c r="P163" i="23"/>
  <c r="R163" i="23" s="1"/>
  <c r="S3" i="23" s="1"/>
  <c r="H249" i="22"/>
  <c r="G249" i="22" s="1"/>
  <c r="F249" i="22"/>
  <c r="B249" i="22"/>
  <c r="H248" i="22"/>
  <c r="G248" i="22" s="1"/>
  <c r="F248" i="22"/>
  <c r="B248" i="22"/>
  <c r="H247" i="22"/>
  <c r="G247" i="22" s="1"/>
  <c r="F247" i="22"/>
  <c r="B247" i="22"/>
  <c r="H246" i="22"/>
  <c r="G246" i="22" s="1"/>
  <c r="F246" i="22"/>
  <c r="B246" i="22"/>
  <c r="H245" i="22"/>
  <c r="G245" i="22" s="1"/>
  <c r="F245" i="22"/>
  <c r="B245" i="22"/>
  <c r="H244" i="22"/>
  <c r="G244" i="22" s="1"/>
  <c r="F244" i="22"/>
  <c r="B244" i="22"/>
  <c r="H243" i="22"/>
  <c r="G243" i="22" s="1"/>
  <c r="F243" i="22"/>
  <c r="B243" i="22"/>
  <c r="H242" i="22"/>
  <c r="G242" i="22" s="1"/>
  <c r="F242" i="22"/>
  <c r="B242" i="22"/>
  <c r="H241" i="22"/>
  <c r="G241" i="22" s="1"/>
  <c r="F241" i="22"/>
  <c r="B241" i="22"/>
  <c r="H240" i="22"/>
  <c r="G240" i="22" s="1"/>
  <c r="F240" i="22"/>
  <c r="B240" i="22"/>
  <c r="H239" i="22"/>
  <c r="G239" i="22" s="1"/>
  <c r="F239" i="22"/>
  <c r="B239" i="22"/>
  <c r="H238" i="22"/>
  <c r="G238" i="22" s="1"/>
  <c r="F238" i="22"/>
  <c r="B238" i="22"/>
  <c r="H237" i="22"/>
  <c r="G237" i="22" s="1"/>
  <c r="F237" i="22"/>
  <c r="B237" i="22"/>
  <c r="H236" i="22"/>
  <c r="G236" i="22" s="1"/>
  <c r="F236" i="22"/>
  <c r="B236" i="22"/>
  <c r="H235" i="22"/>
  <c r="G235" i="22" s="1"/>
  <c r="F235" i="22"/>
  <c r="B235" i="22"/>
  <c r="H234" i="22"/>
  <c r="G234" i="22" s="1"/>
  <c r="F234" i="22"/>
  <c r="B234" i="22"/>
  <c r="H233" i="22"/>
  <c r="G233" i="22" s="1"/>
  <c r="F233" i="22"/>
  <c r="B233" i="22"/>
  <c r="H232" i="22"/>
  <c r="G232" i="22" s="1"/>
  <c r="F232" i="22"/>
  <c r="B232" i="22"/>
  <c r="H231" i="22"/>
  <c r="G231" i="22" s="1"/>
  <c r="F231" i="22"/>
  <c r="B231" i="22"/>
  <c r="H230" i="22"/>
  <c r="G230" i="22" s="1"/>
  <c r="F230" i="22"/>
  <c r="B230" i="22"/>
  <c r="H229" i="22"/>
  <c r="G229" i="22" s="1"/>
  <c r="F229" i="22"/>
  <c r="B229" i="22"/>
  <c r="H228" i="22"/>
  <c r="G228" i="22" s="1"/>
  <c r="F228" i="22"/>
  <c r="B228" i="22"/>
  <c r="H227" i="22"/>
  <c r="G227" i="22" s="1"/>
  <c r="F227" i="22"/>
  <c r="B227" i="22"/>
  <c r="H226" i="22"/>
  <c r="G226" i="22" s="1"/>
  <c r="F226" i="22"/>
  <c r="B226" i="22"/>
  <c r="H225" i="22"/>
  <c r="G225" i="22" s="1"/>
  <c r="F225" i="22"/>
  <c r="B225" i="22"/>
  <c r="H224" i="22"/>
  <c r="G224" i="22" s="1"/>
  <c r="F224" i="22"/>
  <c r="B224" i="22"/>
  <c r="H223" i="22"/>
  <c r="G223" i="22" s="1"/>
  <c r="F223" i="22"/>
  <c r="B223" i="22"/>
  <c r="H222" i="22"/>
  <c r="G222" i="22" s="1"/>
  <c r="F222" i="22"/>
  <c r="B222" i="22"/>
  <c r="H221" i="22"/>
  <c r="G221" i="22" s="1"/>
  <c r="F221" i="22"/>
  <c r="B221" i="22"/>
  <c r="H220" i="22"/>
  <c r="G220" i="22" s="1"/>
  <c r="F220" i="22"/>
  <c r="B220" i="22"/>
  <c r="H219" i="22"/>
  <c r="G219" i="22" s="1"/>
  <c r="F219" i="22"/>
  <c r="B219" i="22"/>
  <c r="H218" i="22"/>
  <c r="G218" i="22" s="1"/>
  <c r="F218" i="22"/>
  <c r="B218" i="22"/>
  <c r="H217" i="22"/>
  <c r="G217" i="22" s="1"/>
  <c r="F217" i="22"/>
  <c r="B217" i="22"/>
  <c r="H216" i="22"/>
  <c r="G216" i="22" s="1"/>
  <c r="F216" i="22"/>
  <c r="B216" i="22"/>
  <c r="H215" i="22"/>
  <c r="G215" i="22" s="1"/>
  <c r="F215" i="22"/>
  <c r="B215" i="22"/>
  <c r="H214" i="22"/>
  <c r="G214" i="22" s="1"/>
  <c r="F214" i="22"/>
  <c r="B214" i="22"/>
  <c r="H213" i="22"/>
  <c r="G213" i="22" s="1"/>
  <c r="F213" i="22"/>
  <c r="B213" i="22"/>
  <c r="H212" i="22"/>
  <c r="G212" i="22" s="1"/>
  <c r="F212" i="22"/>
  <c r="B212" i="22"/>
  <c r="H211" i="22"/>
  <c r="G211" i="22" s="1"/>
  <c r="F211" i="22"/>
  <c r="B211" i="22"/>
  <c r="H210" i="22"/>
  <c r="G210" i="22" s="1"/>
  <c r="F210" i="22"/>
  <c r="B210" i="22"/>
  <c r="H209" i="22"/>
  <c r="G209" i="22" s="1"/>
  <c r="F209" i="22"/>
  <c r="B209" i="22"/>
  <c r="H208" i="22"/>
  <c r="G208" i="22" s="1"/>
  <c r="F208" i="22"/>
  <c r="B208" i="22"/>
  <c r="H207" i="22"/>
  <c r="G207" i="22" s="1"/>
  <c r="F207" i="22"/>
  <c r="B207" i="22"/>
  <c r="H206" i="22"/>
  <c r="G206" i="22" s="1"/>
  <c r="F206" i="22"/>
  <c r="B206" i="22"/>
  <c r="H205" i="22"/>
  <c r="G205" i="22" s="1"/>
  <c r="F205" i="22"/>
  <c r="B205" i="22"/>
  <c r="H204" i="22"/>
  <c r="G204" i="22" s="1"/>
  <c r="F204" i="22"/>
  <c r="B204" i="22"/>
  <c r="H203" i="22"/>
  <c r="G203" i="22" s="1"/>
  <c r="F203" i="22"/>
  <c r="B203" i="22"/>
  <c r="H202" i="22"/>
  <c r="G202" i="22" s="1"/>
  <c r="F202" i="22"/>
  <c r="B202" i="22"/>
  <c r="H201" i="22"/>
  <c r="G201" i="22" s="1"/>
  <c r="F201" i="22"/>
  <c r="B201" i="22"/>
  <c r="H200" i="22"/>
  <c r="G200" i="22" s="1"/>
  <c r="F200" i="22"/>
  <c r="B200" i="22"/>
  <c r="H199" i="22"/>
  <c r="G199" i="22" s="1"/>
  <c r="F199" i="22"/>
  <c r="B199" i="22"/>
  <c r="H198" i="22"/>
  <c r="G198" i="22" s="1"/>
  <c r="F198" i="22"/>
  <c r="B198" i="22"/>
  <c r="H197" i="22"/>
  <c r="G197" i="22" s="1"/>
  <c r="F197" i="22"/>
  <c r="B197" i="22"/>
  <c r="H196" i="22"/>
  <c r="G196" i="22" s="1"/>
  <c r="F196" i="22"/>
  <c r="B196" i="22"/>
  <c r="H195" i="22"/>
  <c r="G195" i="22" s="1"/>
  <c r="F195" i="22"/>
  <c r="B195" i="22"/>
  <c r="H194" i="22"/>
  <c r="G194" i="22" s="1"/>
  <c r="F194" i="22"/>
  <c r="B194" i="22"/>
  <c r="H193" i="22"/>
  <c r="G193" i="22" s="1"/>
  <c r="F193" i="22"/>
  <c r="B193" i="22"/>
  <c r="H192" i="22"/>
  <c r="G192" i="22" s="1"/>
  <c r="F192" i="22"/>
  <c r="B192" i="22"/>
  <c r="H191" i="22"/>
  <c r="G191" i="22" s="1"/>
  <c r="F191" i="22"/>
  <c r="B191" i="22"/>
  <c r="R190" i="22"/>
  <c r="H190" i="22"/>
  <c r="G190" i="22"/>
  <c r="F190" i="22"/>
  <c r="B190" i="22"/>
  <c r="R189" i="22"/>
  <c r="H189" i="22"/>
  <c r="G189" i="22" s="1"/>
  <c r="F189" i="22"/>
  <c r="B189" i="22"/>
  <c r="R188" i="22"/>
  <c r="H188" i="22"/>
  <c r="G188" i="22"/>
  <c r="F188" i="22"/>
  <c r="B188" i="22"/>
  <c r="R187" i="22"/>
  <c r="H187" i="22"/>
  <c r="G187" i="22" s="1"/>
  <c r="F187" i="22"/>
  <c r="B187" i="22"/>
  <c r="R186" i="22"/>
  <c r="H186" i="22"/>
  <c r="G186" i="22"/>
  <c r="F186" i="22"/>
  <c r="B186" i="22"/>
  <c r="R185" i="22"/>
  <c r="H185" i="22"/>
  <c r="G185" i="22" s="1"/>
  <c r="F185" i="22"/>
  <c r="B185" i="22"/>
  <c r="R184" i="22"/>
  <c r="P184" i="22"/>
  <c r="H184" i="22"/>
  <c r="G184" i="22"/>
  <c r="F184" i="22"/>
  <c r="B184" i="22"/>
  <c r="R183" i="22"/>
  <c r="H183" i="22"/>
  <c r="G183" i="22" s="1"/>
  <c r="F183" i="22"/>
  <c r="B183" i="22"/>
  <c r="R182" i="22"/>
  <c r="H182" i="22"/>
  <c r="G182" i="22"/>
  <c r="F182" i="22"/>
  <c r="B182" i="22"/>
  <c r="R181" i="22"/>
  <c r="H181" i="22"/>
  <c r="G181" i="22" s="1"/>
  <c r="F181" i="22"/>
  <c r="B181" i="22"/>
  <c r="R180" i="22"/>
  <c r="P180" i="22"/>
  <c r="H180" i="22"/>
  <c r="P189" i="22" s="1"/>
  <c r="Q189" i="22" s="1"/>
  <c r="G180" i="22"/>
  <c r="F180" i="22"/>
  <c r="B180" i="22"/>
  <c r="R179" i="22"/>
  <c r="R192" i="22" s="1"/>
  <c r="H176" i="22"/>
  <c r="G176" i="22" s="1"/>
  <c r="F176" i="22"/>
  <c r="B176" i="22"/>
  <c r="H175" i="22"/>
  <c r="G175" i="22"/>
  <c r="F175" i="22"/>
  <c r="B175" i="22"/>
  <c r="H174" i="22"/>
  <c r="G174" i="22" s="1"/>
  <c r="F174" i="22"/>
  <c r="B174" i="22"/>
  <c r="H173" i="22"/>
  <c r="G173" i="22"/>
  <c r="F173" i="22"/>
  <c r="B173" i="22"/>
  <c r="H172" i="22"/>
  <c r="G172" i="22" s="1"/>
  <c r="F172" i="22"/>
  <c r="B172" i="22"/>
  <c r="H171" i="22"/>
  <c r="G171" i="22"/>
  <c r="F171" i="22"/>
  <c r="B171" i="22"/>
  <c r="H170" i="22"/>
  <c r="G170" i="22" s="1"/>
  <c r="F170" i="22"/>
  <c r="B170" i="22"/>
  <c r="H169" i="22"/>
  <c r="G169" i="22"/>
  <c r="F169" i="22"/>
  <c r="B169" i="22"/>
  <c r="H168" i="22"/>
  <c r="G168" i="22" s="1"/>
  <c r="F168" i="22"/>
  <c r="B168" i="22"/>
  <c r="H167" i="22"/>
  <c r="G167" i="22"/>
  <c r="F167" i="22"/>
  <c r="B167" i="22"/>
  <c r="H166" i="22"/>
  <c r="G166" i="22" s="1"/>
  <c r="F166" i="22"/>
  <c r="B166" i="22"/>
  <c r="H165" i="22"/>
  <c r="G165" i="22"/>
  <c r="F165" i="22"/>
  <c r="B165" i="22"/>
  <c r="H164" i="22"/>
  <c r="G164" i="22" s="1"/>
  <c r="F164" i="22"/>
  <c r="B164" i="22"/>
  <c r="H163" i="22"/>
  <c r="G163" i="22"/>
  <c r="F163" i="22"/>
  <c r="B163" i="22"/>
  <c r="H162" i="22"/>
  <c r="G162" i="22" s="1"/>
  <c r="F162" i="22"/>
  <c r="B162" i="22"/>
  <c r="H161" i="22"/>
  <c r="G161" i="22"/>
  <c r="F161" i="22"/>
  <c r="B161" i="22"/>
  <c r="H160" i="22"/>
  <c r="G160" i="22" s="1"/>
  <c r="F160" i="22"/>
  <c r="B160" i="22"/>
  <c r="H159" i="22"/>
  <c r="G159" i="22"/>
  <c r="F159" i="22"/>
  <c r="B159" i="22"/>
  <c r="H158" i="22"/>
  <c r="G158" i="22" s="1"/>
  <c r="F158" i="22"/>
  <c r="B158" i="22"/>
  <c r="H157" i="22"/>
  <c r="G157" i="22"/>
  <c r="F157" i="22"/>
  <c r="B157" i="22"/>
  <c r="H156" i="22"/>
  <c r="G156" i="22" s="1"/>
  <c r="F156" i="22"/>
  <c r="B156" i="22"/>
  <c r="H155" i="22"/>
  <c r="G155" i="22"/>
  <c r="F155" i="22"/>
  <c r="B155" i="22"/>
  <c r="H154" i="22"/>
  <c r="G154" i="22" s="1"/>
  <c r="F154" i="22"/>
  <c r="B154" i="22"/>
  <c r="H153" i="22"/>
  <c r="G153" i="22"/>
  <c r="F153" i="22"/>
  <c r="B153" i="22"/>
  <c r="H152" i="22"/>
  <c r="G152" i="22" s="1"/>
  <c r="F152" i="22"/>
  <c r="B152" i="22"/>
  <c r="H151" i="22"/>
  <c r="G151" i="22"/>
  <c r="F151" i="22"/>
  <c r="B151" i="22"/>
  <c r="H150" i="22"/>
  <c r="G150" i="22" s="1"/>
  <c r="F150" i="22"/>
  <c r="B150" i="22"/>
  <c r="H149" i="22"/>
  <c r="G149" i="22"/>
  <c r="F149" i="22"/>
  <c r="B149" i="22"/>
  <c r="H148" i="22"/>
  <c r="G148" i="22" s="1"/>
  <c r="F148" i="22"/>
  <c r="B148" i="22"/>
  <c r="H147" i="22"/>
  <c r="G147" i="22"/>
  <c r="F147" i="22"/>
  <c r="B147" i="22"/>
  <c r="H146" i="22"/>
  <c r="G146" i="22" s="1"/>
  <c r="F146" i="22"/>
  <c r="B146" i="22"/>
  <c r="H145" i="22"/>
  <c r="G145" i="22"/>
  <c r="F145" i="22"/>
  <c r="B145" i="22"/>
  <c r="H144" i="22"/>
  <c r="G144" i="22" s="1"/>
  <c r="F144" i="22"/>
  <c r="B144" i="22"/>
  <c r="H143" i="22"/>
  <c r="G143" i="22"/>
  <c r="F143" i="22"/>
  <c r="B143" i="22"/>
  <c r="H142" i="22"/>
  <c r="G142" i="22" s="1"/>
  <c r="F142" i="22"/>
  <c r="B142" i="22"/>
  <c r="H141" i="22"/>
  <c r="G141" i="22"/>
  <c r="F141" i="22"/>
  <c r="B141" i="22"/>
  <c r="H140" i="22"/>
  <c r="G140" i="22" s="1"/>
  <c r="F140" i="22"/>
  <c r="B140" i="22"/>
  <c r="H139" i="22"/>
  <c r="G139" i="22"/>
  <c r="F139" i="22"/>
  <c r="B139" i="22"/>
  <c r="H138" i="22"/>
  <c r="G138" i="22" s="1"/>
  <c r="F138" i="22"/>
  <c r="B138" i="22"/>
  <c r="H137" i="22"/>
  <c r="G137" i="22"/>
  <c r="F137" i="22"/>
  <c r="B137" i="22"/>
  <c r="H136" i="22"/>
  <c r="G136" i="22"/>
  <c r="F136" i="22"/>
  <c r="B136" i="22"/>
  <c r="H135" i="22"/>
  <c r="G135" i="22"/>
  <c r="F135" i="22"/>
  <c r="B135" i="22"/>
  <c r="H134" i="22"/>
  <c r="G134" i="22" s="1"/>
  <c r="F134" i="22"/>
  <c r="B134" i="22"/>
  <c r="H133" i="22"/>
  <c r="G133" i="22" s="1"/>
  <c r="F133" i="22"/>
  <c r="B133" i="22"/>
  <c r="H132" i="22"/>
  <c r="G132" i="22" s="1"/>
  <c r="F132" i="22"/>
  <c r="B132" i="22"/>
  <c r="H131" i="22"/>
  <c r="G131" i="22"/>
  <c r="F131" i="22"/>
  <c r="B131" i="22"/>
  <c r="H130" i="22"/>
  <c r="G130" i="22"/>
  <c r="F130" i="22"/>
  <c r="B130" i="22"/>
  <c r="H129" i="22"/>
  <c r="G129" i="22" s="1"/>
  <c r="F129" i="22"/>
  <c r="B129" i="22"/>
  <c r="H128" i="22"/>
  <c r="G128" i="22"/>
  <c r="F128" i="22"/>
  <c r="B128" i="22"/>
  <c r="H127" i="22"/>
  <c r="G127" i="22"/>
  <c r="F127" i="22"/>
  <c r="B127" i="22"/>
  <c r="H126" i="22"/>
  <c r="G126" i="22"/>
  <c r="F126" i="22"/>
  <c r="B126" i="22"/>
  <c r="H125" i="22"/>
  <c r="G125" i="22" s="1"/>
  <c r="F125" i="22"/>
  <c r="B125" i="22"/>
  <c r="H124" i="22"/>
  <c r="G124" i="22" s="1"/>
  <c r="F124" i="22"/>
  <c r="B124" i="22"/>
  <c r="H123" i="22"/>
  <c r="G123" i="22"/>
  <c r="F123" i="22"/>
  <c r="B123" i="22"/>
  <c r="H122" i="22"/>
  <c r="G122" i="22"/>
  <c r="F122" i="22"/>
  <c r="B122" i="22"/>
  <c r="H121" i="22"/>
  <c r="G121" i="22" s="1"/>
  <c r="F121" i="22"/>
  <c r="B121" i="22"/>
  <c r="H120" i="22"/>
  <c r="G120" i="22" s="1"/>
  <c r="F120" i="22"/>
  <c r="B120" i="22"/>
  <c r="H119" i="22"/>
  <c r="G119" i="22"/>
  <c r="F119" i="22"/>
  <c r="B119" i="22"/>
  <c r="H118" i="22"/>
  <c r="G118" i="22"/>
  <c r="F118" i="22"/>
  <c r="B118" i="22"/>
  <c r="H117" i="22"/>
  <c r="G117" i="22" s="1"/>
  <c r="F117" i="22"/>
  <c r="B117" i="22"/>
  <c r="H116" i="22"/>
  <c r="G116" i="22" s="1"/>
  <c r="F116" i="22"/>
  <c r="B116" i="22"/>
  <c r="H115" i="22"/>
  <c r="G115" i="22"/>
  <c r="F115" i="22"/>
  <c r="B115" i="22"/>
  <c r="H114" i="22"/>
  <c r="G114" i="22"/>
  <c r="F114" i="22"/>
  <c r="B114" i="22"/>
  <c r="H113" i="22"/>
  <c r="G113" i="22" s="1"/>
  <c r="F113" i="22"/>
  <c r="B113" i="22"/>
  <c r="H112" i="22"/>
  <c r="G112" i="22"/>
  <c r="F112" i="22"/>
  <c r="B112" i="22"/>
  <c r="H111" i="22"/>
  <c r="G111" i="22"/>
  <c r="F111" i="22"/>
  <c r="B111" i="22"/>
  <c r="H110" i="22"/>
  <c r="G110" i="22"/>
  <c r="F110" i="22"/>
  <c r="B110" i="22"/>
  <c r="H109" i="22"/>
  <c r="G109" i="22"/>
  <c r="F109" i="22"/>
  <c r="B109" i="22"/>
  <c r="H108" i="22"/>
  <c r="G108" i="22" s="1"/>
  <c r="F108" i="22"/>
  <c r="B108" i="22"/>
  <c r="R107" i="22"/>
  <c r="H107" i="22"/>
  <c r="G107" i="22" s="1"/>
  <c r="F107" i="22"/>
  <c r="B107" i="22"/>
  <c r="R106" i="22"/>
  <c r="H106" i="22"/>
  <c r="G106" i="22" s="1"/>
  <c r="F106" i="22"/>
  <c r="B106" i="22"/>
  <c r="R105" i="22"/>
  <c r="H105" i="22"/>
  <c r="G105" i="22" s="1"/>
  <c r="F105" i="22"/>
  <c r="B105" i="22"/>
  <c r="R104" i="22"/>
  <c r="H104" i="22"/>
  <c r="G104" i="22" s="1"/>
  <c r="F104" i="22"/>
  <c r="B104" i="22"/>
  <c r="R103" i="22"/>
  <c r="H103" i="22"/>
  <c r="G103" i="22" s="1"/>
  <c r="F103" i="22"/>
  <c r="B103" i="22"/>
  <c r="R102" i="22"/>
  <c r="H102" i="22"/>
  <c r="G102" i="22" s="1"/>
  <c r="F102" i="22"/>
  <c r="B102" i="22"/>
  <c r="R101" i="22"/>
  <c r="H101" i="22"/>
  <c r="G101" i="22" s="1"/>
  <c r="F101" i="22"/>
  <c r="B101" i="22"/>
  <c r="R100" i="22"/>
  <c r="H100" i="22"/>
  <c r="G100" i="22" s="1"/>
  <c r="F100" i="22"/>
  <c r="B100" i="22"/>
  <c r="R99" i="22"/>
  <c r="H99" i="22"/>
  <c r="G99" i="22" s="1"/>
  <c r="F99" i="22"/>
  <c r="B99" i="22"/>
  <c r="R98" i="22"/>
  <c r="H98" i="22"/>
  <c r="G98" i="22" s="1"/>
  <c r="F98" i="22"/>
  <c r="B98" i="22"/>
  <c r="R97" i="22"/>
  <c r="P97" i="22"/>
  <c r="H97" i="22"/>
  <c r="G97" i="22" s="1"/>
  <c r="F97" i="22"/>
  <c r="B97" i="22"/>
  <c r="R96" i="22"/>
  <c r="P96" i="22"/>
  <c r="J93" i="22"/>
  <c r="J92" i="22"/>
  <c r="J91" i="22"/>
  <c r="J90" i="22"/>
  <c r="J89" i="22"/>
  <c r="J88" i="22"/>
  <c r="J87" i="22"/>
  <c r="J86" i="22"/>
  <c r="J85" i="22"/>
  <c r="J84" i="22"/>
  <c r="J83" i="22"/>
  <c r="J82" i="22"/>
  <c r="J81" i="22"/>
  <c r="J80" i="22"/>
  <c r="J79" i="22"/>
  <c r="J78" i="22"/>
  <c r="J77" i="22"/>
  <c r="J76" i="22"/>
  <c r="J75" i="22"/>
  <c r="J74" i="22"/>
  <c r="J73" i="22"/>
  <c r="J72" i="22"/>
  <c r="J71" i="22"/>
  <c r="J70" i="22"/>
  <c r="J69" i="22"/>
  <c r="J68" i="22"/>
  <c r="J67" i="22"/>
  <c r="J66" i="22"/>
  <c r="J65" i="22"/>
  <c r="J64" i="22"/>
  <c r="J63" i="22"/>
  <c r="J62" i="22"/>
  <c r="J61" i="22"/>
  <c r="J60" i="22"/>
  <c r="J59" i="22"/>
  <c r="J58" i="22"/>
  <c r="J57" i="22"/>
  <c r="J56" i="22"/>
  <c r="J55" i="22"/>
  <c r="J54" i="22"/>
  <c r="J53" i="22"/>
  <c r="J52" i="22"/>
  <c r="J51" i="22"/>
  <c r="J50" i="22"/>
  <c r="J49" i="22"/>
  <c r="J48" i="22"/>
  <c r="J47" i="22"/>
  <c r="J46" i="22"/>
  <c r="J45" i="22"/>
  <c r="J44" i="22"/>
  <c r="J43" i="22"/>
  <c r="J42" i="22"/>
  <c r="J41" i="22"/>
  <c r="J40" i="22"/>
  <c r="J39" i="22"/>
  <c r="J38" i="22"/>
  <c r="J37" i="22"/>
  <c r="J36" i="22"/>
  <c r="J35" i="22"/>
  <c r="J34" i="22"/>
  <c r="J33" i="22"/>
  <c r="J32" i="22"/>
  <c r="J31" i="22"/>
  <c r="J30" i="22"/>
  <c r="J29" i="22"/>
  <c r="J28" i="22"/>
  <c r="J27" i="22"/>
  <c r="J26" i="22"/>
  <c r="J25" i="22"/>
  <c r="J24" i="22"/>
  <c r="J23" i="22"/>
  <c r="J22" i="22"/>
  <c r="J21" i="22"/>
  <c r="J20" i="22"/>
  <c r="J19" i="22"/>
  <c r="J18" i="22"/>
  <c r="J17" i="22"/>
  <c r="J16" i="22"/>
  <c r="J15" i="22"/>
  <c r="J14" i="22"/>
  <c r="J13" i="22"/>
  <c r="J12" i="22"/>
  <c r="J11" i="22"/>
  <c r="J10" i="22"/>
  <c r="J9" i="22"/>
  <c r="J8" i="22"/>
  <c r="J7" i="22"/>
  <c r="J6" i="22"/>
  <c r="J5" i="22"/>
  <c r="J4" i="22"/>
  <c r="N418" i="23" l="1"/>
  <c r="J450" i="23"/>
  <c r="L418" i="23"/>
  <c r="S5" i="23"/>
  <c r="D283" i="23"/>
  <c r="D381" i="23"/>
  <c r="D450" i="23"/>
  <c r="H450" i="23"/>
  <c r="F283" i="23"/>
  <c r="L450" i="23"/>
  <c r="P432" i="23" s="1"/>
  <c r="R432" i="23" s="1"/>
  <c r="W14" i="23" s="1"/>
  <c r="H283" i="23"/>
  <c r="L283" i="23"/>
  <c r="R387" i="23"/>
  <c r="R423" i="23"/>
  <c r="L469" i="23"/>
  <c r="J469" i="23"/>
  <c r="H469" i="23"/>
  <c r="N283" i="23"/>
  <c r="F450" i="23"/>
  <c r="N469" i="23"/>
  <c r="R456" i="23"/>
  <c r="D469" i="23"/>
  <c r="R288" i="23"/>
  <c r="F381" i="23"/>
  <c r="N381" i="23"/>
  <c r="H418" i="23"/>
  <c r="H381" i="23"/>
  <c r="J418" i="23"/>
  <c r="L381" i="23"/>
  <c r="D418" i="23"/>
  <c r="R165" i="23"/>
  <c r="Q180" i="22"/>
  <c r="Q184" i="22"/>
  <c r="P179" i="22"/>
  <c r="P183" i="22"/>
  <c r="Q183" i="22" s="1"/>
  <c r="P187" i="22"/>
  <c r="Q187" i="22" s="1"/>
  <c r="P182" i="22"/>
  <c r="Q182" i="22" s="1"/>
  <c r="P186" i="22"/>
  <c r="Q186" i="22" s="1"/>
  <c r="P190" i="22"/>
  <c r="Q190" i="22" s="1"/>
  <c r="P188" i="22"/>
  <c r="Q188" i="22" s="1"/>
  <c r="P181" i="22"/>
  <c r="Q181" i="22" s="1"/>
  <c r="P185" i="22"/>
  <c r="Q185" i="22" s="1"/>
  <c r="Q96" i="22"/>
  <c r="Q97" i="22"/>
  <c r="R109" i="22"/>
  <c r="P98" i="22"/>
  <c r="P100" i="22"/>
  <c r="Q100" i="22" s="1"/>
  <c r="P102" i="22"/>
  <c r="Q102" i="22" s="1"/>
  <c r="P104" i="22"/>
  <c r="Q104" i="22" s="1"/>
  <c r="P106" i="22"/>
  <c r="Q106" i="22" s="1"/>
  <c r="P99" i="22"/>
  <c r="Q99" i="22" s="1"/>
  <c r="P101" i="22"/>
  <c r="Q101" i="22" s="1"/>
  <c r="P103" i="22"/>
  <c r="Q103" i="22" s="1"/>
  <c r="P105" i="22"/>
  <c r="Q105" i="22" s="1"/>
  <c r="P107" i="22"/>
  <c r="Q107" i="22" s="1"/>
  <c r="AF17" i="21"/>
  <c r="R18" i="21"/>
  <c r="L18" i="21"/>
  <c r="AE15" i="1"/>
  <c r="AE15" i="21" s="1"/>
  <c r="P395" i="23" l="1"/>
  <c r="R395" i="23" s="1"/>
  <c r="U14" i="23" s="1"/>
  <c r="P294" i="23"/>
  <c r="R294" i="23" s="1"/>
  <c r="T14" i="23" s="1"/>
  <c r="P170" i="23"/>
  <c r="R170" i="23" s="1"/>
  <c r="S13" i="23" s="1"/>
  <c r="P431" i="23"/>
  <c r="R431" i="23" s="1"/>
  <c r="P171" i="23"/>
  <c r="R171" i="23" s="1"/>
  <c r="S14" i="23" s="1"/>
  <c r="P394" i="23"/>
  <c r="R394" i="23" s="1"/>
  <c r="P465" i="23"/>
  <c r="R465" i="23" s="1"/>
  <c r="X14" i="23" s="1"/>
  <c r="P464" i="23"/>
  <c r="R464" i="23" s="1"/>
  <c r="X13" i="23" s="1"/>
  <c r="P293" i="23"/>
  <c r="R293" i="23" s="1"/>
  <c r="P192" i="22"/>
  <c r="Q179" i="22"/>
  <c r="Q192" i="22" s="1"/>
  <c r="P109" i="22"/>
  <c r="Q98" i="22"/>
  <c r="Q109" i="22" s="1"/>
  <c r="Y67" i="21"/>
  <c r="Q67" i="21"/>
  <c r="Y67" i="1"/>
  <c r="Q67" i="1"/>
  <c r="F19" i="1"/>
  <c r="N60" i="25" s="1"/>
  <c r="C29" i="2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25" i="1"/>
  <c r="B5" i="22"/>
  <c r="B6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46" i="22"/>
  <c r="B47" i="22"/>
  <c r="B48" i="22"/>
  <c r="B49" i="22"/>
  <c r="B50" i="22"/>
  <c r="B51" i="22"/>
  <c r="B52" i="22"/>
  <c r="B53" i="22"/>
  <c r="B54" i="22"/>
  <c r="B55" i="22"/>
  <c r="B56" i="22"/>
  <c r="B57" i="22"/>
  <c r="B58" i="22"/>
  <c r="B59" i="22"/>
  <c r="B60" i="22"/>
  <c r="B61" i="22"/>
  <c r="B62" i="22"/>
  <c r="B63" i="22"/>
  <c r="B64" i="22"/>
  <c r="B65" i="22"/>
  <c r="B66" i="22"/>
  <c r="B67" i="22"/>
  <c r="B68" i="22"/>
  <c r="B69" i="22"/>
  <c r="B70" i="22"/>
  <c r="B71" i="22"/>
  <c r="B72" i="22"/>
  <c r="B73" i="22"/>
  <c r="B74" i="22"/>
  <c r="B75" i="22"/>
  <c r="B76" i="22"/>
  <c r="B77" i="22"/>
  <c r="B78" i="22"/>
  <c r="B79" i="22"/>
  <c r="B80" i="22"/>
  <c r="B81" i="22"/>
  <c r="B82" i="22"/>
  <c r="B83" i="22"/>
  <c r="B84" i="22"/>
  <c r="B85" i="22"/>
  <c r="B86" i="22"/>
  <c r="B87" i="22"/>
  <c r="B88" i="22"/>
  <c r="B89" i="22"/>
  <c r="B90" i="22"/>
  <c r="B91" i="22"/>
  <c r="B92" i="22"/>
  <c r="B93" i="22"/>
  <c r="B4" i="22"/>
  <c r="R295" i="23" l="1"/>
  <c r="T13" i="23"/>
  <c r="T15" i="23" s="1"/>
  <c r="R396" i="23"/>
  <c r="U13" i="23"/>
  <c r="X15" i="23"/>
  <c r="R433" i="23"/>
  <c r="W13" i="23"/>
  <c r="R172" i="23"/>
  <c r="R466" i="23"/>
  <c r="C55" i="21"/>
  <c r="C41" i="21"/>
  <c r="C26" i="21"/>
  <c r="C51" i="21"/>
  <c r="C39" i="21"/>
  <c r="C49" i="21"/>
  <c r="C33" i="21"/>
  <c r="C59" i="21"/>
  <c r="C43" i="21"/>
  <c r="C31" i="21"/>
  <c r="C57" i="21"/>
  <c r="C47" i="21"/>
  <c r="C35" i="21"/>
  <c r="C61" i="21"/>
  <c r="C53" i="21"/>
  <c r="C45" i="21"/>
  <c r="C37" i="21"/>
  <c r="C28" i="21"/>
  <c r="C25" i="21"/>
  <c r="C58" i="21"/>
  <c r="C54" i="21"/>
  <c r="C50" i="21"/>
  <c r="C46" i="21"/>
  <c r="C42" i="21"/>
  <c r="C38" i="21"/>
  <c r="C34" i="21"/>
  <c r="C30" i="21"/>
  <c r="C60" i="21"/>
  <c r="C56" i="21"/>
  <c r="C52" i="21"/>
  <c r="C48" i="21"/>
  <c r="C44" i="21"/>
  <c r="C40" i="21"/>
  <c r="C36" i="21"/>
  <c r="C32" i="21"/>
  <c r="C27" i="21"/>
  <c r="L77" i="24"/>
  <c r="L71" i="24" l="1"/>
  <c r="L65" i="24"/>
  <c r="C84" i="24" l="1"/>
  <c r="D83" i="24"/>
  <c r="L80" i="24"/>
  <c r="L79" i="24"/>
  <c r="H78" i="24"/>
  <c r="C71" i="24"/>
  <c r="D75" i="24"/>
  <c r="D72" i="24"/>
  <c r="D71" i="24"/>
  <c r="J71" i="24"/>
  <c r="H70" i="24"/>
  <c r="I68" i="24"/>
  <c r="G69" i="24"/>
  <c r="F68" i="24"/>
  <c r="D66" i="24"/>
  <c r="D65" i="24"/>
  <c r="C65" i="24"/>
  <c r="G64" i="24"/>
  <c r="E62" i="24"/>
  <c r="G60" i="24"/>
  <c r="C60" i="24"/>
  <c r="P58" i="24"/>
  <c r="C58" i="24"/>
  <c r="D58" i="24"/>
  <c r="G58" i="24"/>
  <c r="E57" i="24"/>
  <c r="C43" i="24"/>
  <c r="L43" i="24"/>
  <c r="G55" i="24"/>
  <c r="G54" i="24"/>
  <c r="D54" i="24"/>
  <c r="L53" i="24"/>
  <c r="C52" i="24"/>
  <c r="D51" i="24"/>
  <c r="D50" i="24"/>
  <c r="O49" i="24"/>
  <c r="J49" i="24"/>
  <c r="C48" i="24"/>
  <c r="C49" i="24"/>
  <c r="F48" i="24"/>
  <c r="F47" i="24"/>
  <c r="D46" i="24"/>
  <c r="D45" i="24"/>
  <c r="D39" i="24"/>
  <c r="D42" i="24"/>
  <c r="C39" i="24"/>
  <c r="F37" i="24"/>
  <c r="D36" i="24"/>
  <c r="C36" i="24"/>
  <c r="C37" i="24"/>
  <c r="P36" i="24"/>
  <c r="J35" i="24"/>
  <c r="F35" i="24"/>
  <c r="F33" i="24"/>
  <c r="D35" i="24"/>
  <c r="D34" i="24"/>
  <c r="C35" i="24"/>
  <c r="C34" i="24"/>
  <c r="C33" i="24"/>
  <c r="C31" i="24"/>
  <c r="C29" i="24"/>
  <c r="D30" i="24"/>
  <c r="P29" i="24"/>
  <c r="C27" i="24"/>
  <c r="C26" i="24"/>
  <c r="M26" i="24"/>
  <c r="N26" i="24"/>
  <c r="C23" i="24"/>
  <c r="C25" i="24"/>
  <c r="C24" i="24"/>
  <c r="E24" i="24"/>
  <c r="I24" i="24"/>
  <c r="M23" i="24" l="1"/>
  <c r="M22" i="24"/>
  <c r="P20" i="24"/>
  <c r="C22" i="24"/>
  <c r="M20" i="24"/>
  <c r="C21" i="24"/>
  <c r="C20" i="24"/>
  <c r="C19" i="24"/>
  <c r="D18" i="24"/>
  <c r="C16" i="24"/>
  <c r="C15" i="24"/>
  <c r="D14" i="24"/>
  <c r="C13" i="24"/>
  <c r="Q4" i="24" l="1"/>
  <c r="D6" i="24" l="1"/>
  <c r="E6" i="24"/>
  <c r="F6" i="24"/>
  <c r="G6" i="24"/>
  <c r="H6" i="24"/>
  <c r="I6" i="24"/>
  <c r="J6" i="24"/>
  <c r="K6" i="24"/>
  <c r="L6" i="24"/>
  <c r="M6" i="24"/>
  <c r="N6" i="24"/>
  <c r="O6" i="24"/>
  <c r="P6" i="24"/>
  <c r="C6" i="24"/>
  <c r="N160" i="23"/>
  <c r="L160" i="23"/>
  <c r="J160" i="23"/>
  <c r="H160" i="23"/>
  <c r="F160" i="23"/>
  <c r="D160" i="23"/>
  <c r="Q14" i="23"/>
  <c r="Q13" i="23"/>
  <c r="R4" i="23"/>
  <c r="R3" i="23"/>
  <c r="H93" i="22"/>
  <c r="G93" i="22" s="1"/>
  <c r="F93" i="22"/>
  <c r="H92" i="22"/>
  <c r="G92" i="22" s="1"/>
  <c r="F92" i="22"/>
  <c r="H91" i="22"/>
  <c r="G91" i="22" s="1"/>
  <c r="F91" i="22"/>
  <c r="H90" i="22"/>
  <c r="G90" i="22" s="1"/>
  <c r="F90" i="22"/>
  <c r="H89" i="22"/>
  <c r="G89" i="22" s="1"/>
  <c r="F89" i="22"/>
  <c r="H88" i="22"/>
  <c r="G88" i="22" s="1"/>
  <c r="F88" i="22"/>
  <c r="H87" i="22"/>
  <c r="G87" i="22" s="1"/>
  <c r="F87" i="22"/>
  <c r="H86" i="22"/>
  <c r="G86" i="22" s="1"/>
  <c r="F86" i="22"/>
  <c r="H85" i="22"/>
  <c r="G85" i="22" s="1"/>
  <c r="F85" i="22"/>
  <c r="H84" i="22"/>
  <c r="G84" i="22" s="1"/>
  <c r="F84" i="22"/>
  <c r="H83" i="22"/>
  <c r="G83" i="22" s="1"/>
  <c r="F83" i="22"/>
  <c r="H82" i="22"/>
  <c r="G82" i="22" s="1"/>
  <c r="F82" i="22"/>
  <c r="H81" i="22"/>
  <c r="G81" i="22" s="1"/>
  <c r="F81" i="22"/>
  <c r="H80" i="22"/>
  <c r="G80" i="22" s="1"/>
  <c r="F80" i="22"/>
  <c r="H79" i="22"/>
  <c r="G79" i="22" s="1"/>
  <c r="F79" i="22"/>
  <c r="H78" i="22"/>
  <c r="G78" i="22" s="1"/>
  <c r="F78" i="22"/>
  <c r="H77" i="22"/>
  <c r="G77" i="22" s="1"/>
  <c r="F77" i="22"/>
  <c r="H76" i="22"/>
  <c r="G76" i="22" s="1"/>
  <c r="F76" i="22"/>
  <c r="H75" i="22"/>
  <c r="G75" i="22" s="1"/>
  <c r="F75" i="22"/>
  <c r="H74" i="22"/>
  <c r="G74" i="22" s="1"/>
  <c r="F74" i="22"/>
  <c r="H73" i="22"/>
  <c r="G73" i="22" s="1"/>
  <c r="F73" i="22"/>
  <c r="H72" i="22"/>
  <c r="G72" i="22" s="1"/>
  <c r="F72" i="22"/>
  <c r="H71" i="22"/>
  <c r="G71" i="22" s="1"/>
  <c r="F71" i="22"/>
  <c r="H70" i="22"/>
  <c r="G70" i="22" s="1"/>
  <c r="F70" i="22"/>
  <c r="H69" i="22"/>
  <c r="G69" i="22" s="1"/>
  <c r="F69" i="22"/>
  <c r="H68" i="22"/>
  <c r="G68" i="22" s="1"/>
  <c r="F68" i="22"/>
  <c r="H67" i="22"/>
  <c r="G67" i="22" s="1"/>
  <c r="F67" i="22"/>
  <c r="H66" i="22"/>
  <c r="G66" i="22" s="1"/>
  <c r="F66" i="22"/>
  <c r="H65" i="22"/>
  <c r="G65" i="22" s="1"/>
  <c r="F65" i="22"/>
  <c r="H64" i="22"/>
  <c r="G64" i="22" s="1"/>
  <c r="F64" i="22"/>
  <c r="H63" i="22"/>
  <c r="G63" i="22" s="1"/>
  <c r="F63" i="22"/>
  <c r="H62" i="22"/>
  <c r="G62" i="22" s="1"/>
  <c r="F62" i="22"/>
  <c r="H61" i="22"/>
  <c r="G61" i="22" s="1"/>
  <c r="F61" i="22"/>
  <c r="H60" i="22"/>
  <c r="G60" i="22" s="1"/>
  <c r="F60" i="22"/>
  <c r="H59" i="22"/>
  <c r="G59" i="22" s="1"/>
  <c r="F59" i="22"/>
  <c r="H58" i="22"/>
  <c r="G58" i="22" s="1"/>
  <c r="F58" i="22"/>
  <c r="H57" i="22"/>
  <c r="G57" i="22" s="1"/>
  <c r="F57" i="22"/>
  <c r="H56" i="22"/>
  <c r="G56" i="22" s="1"/>
  <c r="F56" i="22"/>
  <c r="H55" i="22"/>
  <c r="G55" i="22" s="1"/>
  <c r="F55" i="22"/>
  <c r="H54" i="22"/>
  <c r="G54" i="22" s="1"/>
  <c r="F54" i="22"/>
  <c r="H53" i="22"/>
  <c r="G53" i="22" s="1"/>
  <c r="F53" i="22"/>
  <c r="H52" i="22"/>
  <c r="G52" i="22" s="1"/>
  <c r="F52" i="22"/>
  <c r="H51" i="22"/>
  <c r="G51" i="22" s="1"/>
  <c r="F51" i="22"/>
  <c r="H50" i="22"/>
  <c r="G50" i="22" s="1"/>
  <c r="F50" i="22"/>
  <c r="H49" i="22"/>
  <c r="G49" i="22" s="1"/>
  <c r="F49" i="22"/>
  <c r="H48" i="22"/>
  <c r="G48" i="22" s="1"/>
  <c r="F48" i="22"/>
  <c r="H47" i="22"/>
  <c r="G47" i="22" s="1"/>
  <c r="F47" i="22"/>
  <c r="H46" i="22"/>
  <c r="G46" i="22" s="1"/>
  <c r="F46" i="22"/>
  <c r="H45" i="22"/>
  <c r="G45" i="22" s="1"/>
  <c r="F45" i="22"/>
  <c r="H44" i="22"/>
  <c r="G44" i="22" s="1"/>
  <c r="F44" i="22"/>
  <c r="H43" i="22"/>
  <c r="G43" i="22" s="1"/>
  <c r="F43" i="22"/>
  <c r="H42" i="22"/>
  <c r="G42" i="22" s="1"/>
  <c r="F42" i="22"/>
  <c r="H41" i="22"/>
  <c r="G41" i="22" s="1"/>
  <c r="F41" i="22"/>
  <c r="H40" i="22"/>
  <c r="G40" i="22" s="1"/>
  <c r="F40" i="22"/>
  <c r="H39" i="22"/>
  <c r="G39" i="22" s="1"/>
  <c r="F39" i="22"/>
  <c r="H38" i="22"/>
  <c r="G38" i="22" s="1"/>
  <c r="F38" i="22"/>
  <c r="H37" i="22"/>
  <c r="G37" i="22" s="1"/>
  <c r="F37" i="22"/>
  <c r="H36" i="22"/>
  <c r="G36" i="22" s="1"/>
  <c r="F36" i="22"/>
  <c r="H35" i="22"/>
  <c r="G35" i="22" s="1"/>
  <c r="F35" i="22"/>
  <c r="H34" i="22"/>
  <c r="G34" i="22" s="1"/>
  <c r="F34" i="22"/>
  <c r="H33" i="22"/>
  <c r="G33" i="22" s="1"/>
  <c r="F33" i="22"/>
  <c r="H32" i="22"/>
  <c r="G32" i="22" s="1"/>
  <c r="F32" i="22"/>
  <c r="H31" i="22"/>
  <c r="G31" i="22" s="1"/>
  <c r="F31" i="22"/>
  <c r="H30" i="22"/>
  <c r="G30" i="22" s="1"/>
  <c r="F30" i="22"/>
  <c r="H29" i="22"/>
  <c r="G29" i="22" s="1"/>
  <c r="F29" i="22"/>
  <c r="H28" i="22"/>
  <c r="G28" i="22" s="1"/>
  <c r="F28" i="22"/>
  <c r="H27" i="22"/>
  <c r="G27" i="22" s="1"/>
  <c r="F27" i="22"/>
  <c r="H26" i="22"/>
  <c r="G26" i="22" s="1"/>
  <c r="F26" i="22"/>
  <c r="H25" i="22"/>
  <c r="G25" i="22" s="1"/>
  <c r="F25" i="22"/>
  <c r="H24" i="22"/>
  <c r="G24" i="22" s="1"/>
  <c r="F24" i="22"/>
  <c r="H23" i="22"/>
  <c r="G23" i="22" s="1"/>
  <c r="F23" i="22"/>
  <c r="H22" i="22"/>
  <c r="G22" i="22" s="1"/>
  <c r="F22" i="22"/>
  <c r="H21" i="22"/>
  <c r="G21" i="22" s="1"/>
  <c r="F21" i="22"/>
  <c r="H20" i="22"/>
  <c r="G20" i="22" s="1"/>
  <c r="F20" i="22"/>
  <c r="H19" i="22"/>
  <c r="G19" i="22" s="1"/>
  <c r="F19" i="22"/>
  <c r="H18" i="22"/>
  <c r="G18" i="22" s="1"/>
  <c r="F18" i="22"/>
  <c r="H17" i="22"/>
  <c r="G17" i="22" s="1"/>
  <c r="F17" i="22"/>
  <c r="H16" i="22"/>
  <c r="G16" i="22" s="1"/>
  <c r="F16" i="22"/>
  <c r="H15" i="22"/>
  <c r="G15" i="22" s="1"/>
  <c r="F15" i="22"/>
  <c r="R14" i="22"/>
  <c r="H14" i="22"/>
  <c r="G14" i="22"/>
  <c r="F14" i="22"/>
  <c r="R13" i="22"/>
  <c r="H13" i="22"/>
  <c r="G13" i="22"/>
  <c r="F13" i="22"/>
  <c r="R12" i="22"/>
  <c r="H12" i="22"/>
  <c r="G12" i="22" s="1"/>
  <c r="F12" i="22"/>
  <c r="R11" i="22"/>
  <c r="H11" i="22"/>
  <c r="G11" i="22" s="1"/>
  <c r="F11" i="22"/>
  <c r="R10" i="22"/>
  <c r="H10" i="22"/>
  <c r="G10" i="22"/>
  <c r="F10" i="22"/>
  <c r="R9" i="22"/>
  <c r="H9" i="22"/>
  <c r="G9" i="22"/>
  <c r="F9" i="22"/>
  <c r="R8" i="22"/>
  <c r="H8" i="22"/>
  <c r="G8" i="22" s="1"/>
  <c r="F8" i="22"/>
  <c r="R7" i="22"/>
  <c r="H7" i="22"/>
  <c r="G7" i="22" s="1"/>
  <c r="F7" i="22"/>
  <c r="R6" i="22"/>
  <c r="H6" i="22"/>
  <c r="G6" i="22"/>
  <c r="F6" i="22"/>
  <c r="R5" i="22"/>
  <c r="R16" i="22" s="1"/>
  <c r="H5" i="22"/>
  <c r="G5" i="22"/>
  <c r="F5" i="22"/>
  <c r="R4" i="22"/>
  <c r="H4" i="22"/>
  <c r="G4" i="22"/>
  <c r="F4" i="22"/>
  <c r="R3" i="22"/>
  <c r="S15" i="21"/>
  <c r="M20" i="9"/>
  <c r="M22" i="9"/>
  <c r="Q11" i="9"/>
  <c r="B80" i="21"/>
  <c r="B79" i="21"/>
  <c r="B78" i="21"/>
  <c r="F67" i="21"/>
  <c r="Z61" i="21"/>
  <c r="Z60" i="21"/>
  <c r="Z59" i="21"/>
  <c r="Z58" i="21"/>
  <c r="Z57" i="21"/>
  <c r="Z56" i="21"/>
  <c r="Z55" i="21"/>
  <c r="Z54" i="21"/>
  <c r="Z53" i="21"/>
  <c r="Z52" i="21"/>
  <c r="Z51" i="21"/>
  <c r="Z50" i="21"/>
  <c r="Z49" i="21"/>
  <c r="Z48" i="21"/>
  <c r="Z47" i="21"/>
  <c r="Z46" i="21"/>
  <c r="Z45" i="21"/>
  <c r="Z44" i="21"/>
  <c r="Z43" i="21"/>
  <c r="Z42" i="21"/>
  <c r="Z41" i="21"/>
  <c r="Z40" i="21"/>
  <c r="Z39" i="21"/>
  <c r="Z38" i="21"/>
  <c r="Z37" i="21"/>
  <c r="Z36" i="21"/>
  <c r="Z35" i="21"/>
  <c r="Z34" i="21"/>
  <c r="Z33" i="21"/>
  <c r="Z32" i="21"/>
  <c r="Z31" i="21"/>
  <c r="Z30" i="21"/>
  <c r="Z29" i="21"/>
  <c r="Z28" i="21"/>
  <c r="Z27" i="21"/>
  <c r="Z26" i="21"/>
  <c r="Z24" i="21"/>
  <c r="Z23" i="21"/>
  <c r="F19" i="21"/>
  <c r="C12" i="25"/>
  <c r="Q15" i="9"/>
  <c r="Q23" i="9"/>
  <c r="O21" i="9"/>
  <c r="N21" i="9"/>
  <c r="M21" i="9"/>
  <c r="P20" i="9"/>
  <c r="P22" i="9"/>
  <c r="O20" i="9"/>
  <c r="O22" i="9"/>
  <c r="N20" i="9"/>
  <c r="N22" i="9"/>
  <c r="L20" i="9"/>
  <c r="L22" i="9"/>
  <c r="K20" i="9"/>
  <c r="K22" i="9"/>
  <c r="I20" i="9"/>
  <c r="I22" i="9"/>
  <c r="H20" i="9"/>
  <c r="H22" i="9"/>
  <c r="G20" i="9"/>
  <c r="G22" i="9"/>
  <c r="F20" i="9"/>
  <c r="F22" i="9" s="1"/>
  <c r="Q20" i="9" s="1"/>
  <c r="E20" i="9"/>
  <c r="E22" i="9"/>
  <c r="Q18" i="9"/>
  <c r="Q17" i="9"/>
  <c r="Q16" i="9"/>
  <c r="Q14" i="9"/>
  <c r="Q13" i="9"/>
  <c r="Q12" i="9"/>
  <c r="J20" i="9"/>
  <c r="J22" i="9"/>
  <c r="Q10" i="9"/>
  <c r="Q9" i="9"/>
  <c r="Q8" i="9"/>
  <c r="Q7" i="9"/>
  <c r="Q6" i="9"/>
  <c r="Q5" i="9"/>
  <c r="Q4" i="9"/>
  <c r="Q19" i="9" s="1"/>
  <c r="Q3" i="9"/>
  <c r="Z26" i="1"/>
  <c r="Z27" i="1"/>
  <c r="R64" i="1"/>
  <c r="Z59" i="1"/>
  <c r="Z60" i="1"/>
  <c r="B80" i="1"/>
  <c r="B79" i="1"/>
  <c r="B78" i="1"/>
  <c r="F67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61" i="1"/>
  <c r="Z25" i="1"/>
  <c r="Z28" i="1"/>
  <c r="Z29" i="1"/>
  <c r="Z30" i="1"/>
  <c r="Z31" i="1"/>
  <c r="Z32" i="1"/>
  <c r="Z33" i="1"/>
  <c r="Z23" i="1"/>
  <c r="Z24" i="1"/>
  <c r="G31" i="10"/>
  <c r="G30" i="10"/>
  <c r="G27" i="10"/>
  <c r="G26" i="10"/>
  <c r="G23" i="10"/>
  <c r="G22" i="10"/>
  <c r="G19" i="10"/>
  <c r="G18" i="10"/>
  <c r="G15" i="10"/>
  <c r="G14" i="10"/>
  <c r="F4" i="10"/>
  <c r="G4" i="10" s="1"/>
  <c r="F5" i="10"/>
  <c r="G5" i="10" s="1"/>
  <c r="F6" i="10"/>
  <c r="G6" i="10" s="1"/>
  <c r="F7" i="10"/>
  <c r="G7" i="10" s="1"/>
  <c r="F8" i="10"/>
  <c r="G8" i="10" s="1"/>
  <c r="F9" i="10"/>
  <c r="G9" i="10" s="1"/>
  <c r="F10" i="10"/>
  <c r="G10" i="10" s="1"/>
  <c r="F11" i="10"/>
  <c r="G11" i="10"/>
  <c r="F12" i="10"/>
  <c r="G12" i="10"/>
  <c r="F13" i="10"/>
  <c r="G13" i="10"/>
  <c r="F14" i="10"/>
  <c r="F15" i="10"/>
  <c r="F16" i="10"/>
  <c r="G16" i="10"/>
  <c r="F17" i="10"/>
  <c r="G17" i="10"/>
  <c r="F18" i="10"/>
  <c r="F19" i="10"/>
  <c r="F20" i="10"/>
  <c r="G20" i="10"/>
  <c r="F21" i="10"/>
  <c r="G21" i="10"/>
  <c r="F22" i="10"/>
  <c r="F23" i="10"/>
  <c r="F24" i="10"/>
  <c r="G24" i="10"/>
  <c r="F25" i="10"/>
  <c r="G25" i="10"/>
  <c r="F26" i="10"/>
  <c r="F27" i="10"/>
  <c r="F28" i="10"/>
  <c r="G28" i="10"/>
  <c r="F29" i="10"/>
  <c r="G29" i="10"/>
  <c r="F30" i="10"/>
  <c r="F31" i="10"/>
  <c r="F3" i="10"/>
  <c r="G3" i="10" s="1"/>
  <c r="D20" i="9"/>
  <c r="D22" i="9"/>
  <c r="C20" i="9"/>
  <c r="C22" i="9"/>
  <c r="M23" i="9"/>
  <c r="P4" i="22"/>
  <c r="Q4" i="22" s="1"/>
  <c r="P10" i="22"/>
  <c r="P12" i="22"/>
  <c r="Q12" i="22" s="1"/>
  <c r="W5" i="23"/>
  <c r="Q21" i="9" l="1"/>
  <c r="Q22" i="9" s="1"/>
  <c r="X5" i="23"/>
  <c r="R13" i="23"/>
  <c r="R14" i="23"/>
  <c r="R5" i="23"/>
  <c r="Q10" i="22"/>
  <c r="P11" i="22"/>
  <c r="Q11" i="22" s="1"/>
  <c r="P13" i="22"/>
  <c r="Q13" i="22" s="1"/>
  <c r="P3" i="22"/>
  <c r="P9" i="22"/>
  <c r="Q9" i="22" s="1"/>
  <c r="P7" i="22"/>
  <c r="Q7" i="22" s="1"/>
  <c r="P5" i="22"/>
  <c r="Q5" i="22" s="1"/>
  <c r="P14" i="22"/>
  <c r="Q14" i="22" s="1"/>
  <c r="P8" i="22"/>
  <c r="Q8" i="22" s="1"/>
  <c r="P6" i="22"/>
  <c r="Q6" i="22" s="1"/>
  <c r="S13" i="21"/>
  <c r="S11" i="21"/>
  <c r="H64" i="1"/>
  <c r="C64" i="1"/>
  <c r="H64" i="21"/>
  <c r="M64" i="1"/>
  <c r="U5" i="23"/>
  <c r="G32" i="10"/>
  <c r="F32" i="10"/>
  <c r="F33" i="10" s="1"/>
  <c r="G33" i="10" s="1"/>
  <c r="Q6" i="24"/>
  <c r="X25" i="21" l="1"/>
  <c r="Z25" i="21" s="1"/>
  <c r="R15" i="23"/>
  <c r="Q3" i="22"/>
  <c r="Q16" i="22" s="1"/>
  <c r="P16" i="22"/>
  <c r="R64" i="21"/>
  <c r="U64" i="1"/>
  <c r="T5" i="23"/>
  <c r="S15" i="23"/>
  <c r="Q7" i="24"/>
  <c r="Q8" i="24" s="1"/>
  <c r="G35" i="10"/>
  <c r="G34" i="10"/>
  <c r="C64" i="21" l="1"/>
  <c r="M64" i="21"/>
  <c r="W15" i="23"/>
  <c r="U15" i="23"/>
  <c r="U64" i="21" l="1"/>
  <c r="T51" i="23" l="1"/>
  <c r="T53" i="23" s="1"/>
  <c r="T55" i="23" s="1"/>
</calcChain>
</file>

<file path=xl/comments1.xml><?xml version="1.0" encoding="utf-8"?>
<comments xmlns="http://schemas.openxmlformats.org/spreadsheetml/2006/main">
  <authors>
    <author>Sicaud Frédéric</author>
  </authors>
  <commentList>
    <comment ref="C211" authorId="0" shapeId="0">
      <text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<sst xmlns="http://schemas.openxmlformats.org/spreadsheetml/2006/main" count="3328" uniqueCount="1800">
  <si>
    <t>TOTAL H.T</t>
  </si>
  <si>
    <t>QTE</t>
  </si>
  <si>
    <t>U</t>
  </si>
  <si>
    <t>TOTAL HT</t>
  </si>
  <si>
    <t>DESIGNATION</t>
  </si>
  <si>
    <t>PRIX UNIT. HT</t>
  </si>
  <si>
    <t>Titre</t>
  </si>
  <si>
    <t>Nom</t>
  </si>
  <si>
    <t>prénom</t>
  </si>
  <si>
    <t>Adresse1</t>
  </si>
  <si>
    <t>Code postal</t>
  </si>
  <si>
    <t>Ville</t>
  </si>
  <si>
    <t>Téléphone</t>
  </si>
  <si>
    <t>Portable</t>
  </si>
  <si>
    <t>Fax</t>
  </si>
  <si>
    <t>email</t>
  </si>
  <si>
    <t xml:space="preserve">Mme </t>
  </si>
  <si>
    <t xml:space="preserve">CHARPIAT </t>
  </si>
  <si>
    <t>charpiat.kf@wanadoo.fr</t>
  </si>
  <si>
    <t>N°client</t>
  </si>
  <si>
    <t xml:space="preserve">Mr </t>
  </si>
  <si>
    <t>SICAUD</t>
  </si>
  <si>
    <t>Frédéric</t>
  </si>
  <si>
    <t>2 chemin de Beaumaine</t>
  </si>
  <si>
    <t xml:space="preserve">VAUTIER </t>
  </si>
  <si>
    <t>BENOIT</t>
  </si>
  <si>
    <t>40 AVENUE DE JOURDAN</t>
  </si>
  <si>
    <t xml:space="preserve"> Le </t>
  </si>
  <si>
    <t>Code TVA</t>
  </si>
  <si>
    <t>TOUSSAINT</t>
  </si>
  <si>
    <t>YVETTE</t>
  </si>
  <si>
    <t>12 CHEMIN DE FOURS</t>
  </si>
  <si>
    <t>LA CHAPELLE DES POTS</t>
  </si>
  <si>
    <t>SAINTES</t>
  </si>
  <si>
    <t xml:space="preserve">COMMUNAUTE DE COMMUNE </t>
  </si>
  <si>
    <t>4 AVENUE DE TOMBOUCTOU</t>
  </si>
  <si>
    <t>GENERALE DES EAUX</t>
  </si>
  <si>
    <t>BP 80436</t>
  </si>
  <si>
    <t>NANTES CEDEX 4</t>
  </si>
  <si>
    <t>AKEO</t>
  </si>
  <si>
    <t xml:space="preserve">66 GRANDE RUE </t>
  </si>
  <si>
    <t>PORT MORT</t>
  </si>
  <si>
    <t xml:space="preserve">E D F </t>
  </si>
  <si>
    <t>BP 70225</t>
  </si>
  <si>
    <t>BORDEAUX CEDEX</t>
  </si>
  <si>
    <t>DE LA BROSSE</t>
  </si>
  <si>
    <t>RUE DU MAINE</t>
  </si>
  <si>
    <t>Mr et Mme</t>
  </si>
  <si>
    <t>REBILLON</t>
  </si>
  <si>
    <t>VICTOR</t>
  </si>
  <si>
    <t>130 RUE ST EUTROPE</t>
  </si>
  <si>
    <t>MERLET</t>
  </si>
  <si>
    <t>CHANIERS</t>
  </si>
  <si>
    <t>LUCAS</t>
  </si>
  <si>
    <t>LES MORRINS</t>
  </si>
  <si>
    <t>PESSINES</t>
  </si>
  <si>
    <t>PICHARD</t>
  </si>
  <si>
    <t>MICHEL</t>
  </si>
  <si>
    <t>12 RUE ABBE VIEUILLE</t>
  </si>
  <si>
    <t>LE CORRE</t>
  </si>
  <si>
    <t>42 CHEMIN DES VANNEAUX</t>
  </si>
  <si>
    <t xml:space="preserve">Mr et Mme </t>
  </si>
  <si>
    <t xml:space="preserve">MME </t>
  </si>
  <si>
    <t>MAILLARD</t>
  </si>
  <si>
    <t>IRENE</t>
  </si>
  <si>
    <t>MR</t>
  </si>
  <si>
    <t>BOUAT</t>
  </si>
  <si>
    <t>142 RUE ST EUTROPE</t>
  </si>
  <si>
    <t xml:space="preserve">MR </t>
  </si>
  <si>
    <t>JULIAC</t>
  </si>
  <si>
    <t>STEPHANE</t>
  </si>
  <si>
    <t>1 RUE DU PETIT MEDOC</t>
  </si>
  <si>
    <t>BAR</t>
  </si>
  <si>
    <t>LE CAPRICONE</t>
  </si>
  <si>
    <t>RUE DE LA MARNE</t>
  </si>
  <si>
    <t>ROUGE</t>
  </si>
  <si>
    <t>JEAN NOEL</t>
  </si>
  <si>
    <t>45 CHEMIN DES BERNARDIERES</t>
  </si>
  <si>
    <t>BELLICOU</t>
  </si>
  <si>
    <t>CHEZ JAGUENAUD</t>
  </si>
  <si>
    <t>VENERAND</t>
  </si>
  <si>
    <t>FERRY</t>
  </si>
  <si>
    <t>ANNIE</t>
  </si>
  <si>
    <t>110 AVENUE GAMBETTA</t>
  </si>
  <si>
    <t>Ce présent devis est valable pour une durée de 3 mois à compter de la date inscrite en haut.</t>
  </si>
  <si>
    <t xml:space="preserve">Conformément a l'instruction du 14 septembre 1999 du ministère des finances, la TVA ne sera que facturée à 5,5 % que sous réserve de la délivrance par le client, d'une attestation certifiant que le local ou </t>
  </si>
  <si>
    <t>sont effectués les travaux, a été construit depuis plus de deux ans et est a usage d'habitation.</t>
  </si>
  <si>
    <t>FARGUES</t>
  </si>
  <si>
    <t>ALAIN</t>
  </si>
  <si>
    <t>9 RUE DE JOUVENCE</t>
  </si>
  <si>
    <t>CONFLANS STE HONORINE</t>
  </si>
  <si>
    <t>DEBORDE</t>
  </si>
  <si>
    <t>BRUNO</t>
  </si>
  <si>
    <t xml:space="preserve">MR et MME </t>
  </si>
  <si>
    <t>IRONSIDE WOOD</t>
  </si>
  <si>
    <t>TAILLEBOURG</t>
  </si>
  <si>
    <t>ADPT</t>
  </si>
  <si>
    <t>8 BOULEVARD DU COMMANDANT CHARCOT</t>
  </si>
  <si>
    <t>AYTRES CEDEX</t>
  </si>
  <si>
    <t>LATASTE</t>
  </si>
  <si>
    <t>1 RUE COTREL</t>
  </si>
  <si>
    <t>BORDEAUX</t>
  </si>
  <si>
    <t>BERTIAUX</t>
  </si>
  <si>
    <t>33 CHEMIN DE LA RUELLE</t>
  </si>
  <si>
    <t>LES GONDS</t>
  </si>
  <si>
    <t>GIRAUX</t>
  </si>
  <si>
    <t>JEAN LOUIS</t>
  </si>
  <si>
    <t xml:space="preserve">LE MAINE ALLAIN </t>
  </si>
  <si>
    <t>En application de la loi du 12 mai 1980, nous nous réservons la propriété de toutes les marchandises, jusqu'au paiement intégral du prix par l'acheteur</t>
  </si>
  <si>
    <t>GOSSELIN</t>
  </si>
  <si>
    <t>6 ALLEE DU PRIEURE</t>
  </si>
  <si>
    <t>ST VAIZE</t>
  </si>
  <si>
    <t>TREBUCHET</t>
  </si>
  <si>
    <t>ANDRE</t>
  </si>
  <si>
    <t xml:space="preserve">MR et Mme </t>
  </si>
  <si>
    <t xml:space="preserve">CASTELLANI </t>
  </si>
  <si>
    <t xml:space="preserve">MR   </t>
  </si>
  <si>
    <t>PELLAULT</t>
  </si>
  <si>
    <t>LILIANE</t>
  </si>
  <si>
    <t>4 RUE DU CLOS ST PAUL</t>
  </si>
  <si>
    <t>ST GRATIEN</t>
  </si>
  <si>
    <t>PORTIER</t>
  </si>
  <si>
    <t>RAYMOND</t>
  </si>
  <si>
    <t>24 COURS GENET</t>
  </si>
  <si>
    <t>GUERIN</t>
  </si>
  <si>
    <t>DANIEL</t>
  </si>
  <si>
    <t>67 RUE DES GRANDS CHAMPS</t>
  </si>
  <si>
    <t>COURCOURY</t>
  </si>
  <si>
    <t>DAGUET</t>
  </si>
  <si>
    <t>1 RUE DU BOIS DE TERREFORT</t>
  </si>
  <si>
    <t>SEMIS</t>
  </si>
  <si>
    <t>5 BIS AVENUE DE BELLEVUE</t>
  </si>
  <si>
    <t xml:space="preserve">26 RUE DU MAINE </t>
  </si>
  <si>
    <t>MORILLO</t>
  </si>
  <si>
    <t>GABILLARD</t>
  </si>
  <si>
    <t>19 RUE D'ANJOU</t>
  </si>
  <si>
    <t>MOTTIER</t>
  </si>
  <si>
    <t xml:space="preserve">MR ET MME </t>
  </si>
  <si>
    <t>PATOUR</t>
  </si>
  <si>
    <t>G</t>
  </si>
  <si>
    <t>2 CHEMIN DE CHEZ JOYEUX</t>
  </si>
  <si>
    <t>ST SIMON DE PELLOUAILLE</t>
  </si>
  <si>
    <t>CHABOT</t>
  </si>
  <si>
    <t>DIDIER</t>
  </si>
  <si>
    <t>23 RUE MAURICE - RAVEL</t>
  </si>
  <si>
    <t>GUIET</t>
  </si>
  <si>
    <t>ERIC</t>
  </si>
  <si>
    <t>10 RUE CHAUDRIC DE CRAZANNES</t>
  </si>
  <si>
    <t>CHEVALIER</t>
  </si>
  <si>
    <t>FAIVRE</t>
  </si>
  <si>
    <t>PREGUILLAC</t>
  </si>
  <si>
    <t>12 RUE VIGNES MALLET</t>
  </si>
  <si>
    <t>GARAUD</t>
  </si>
  <si>
    <t>BERNARD</t>
  </si>
  <si>
    <t>ST SAUVANT</t>
  </si>
  <si>
    <t>VINCENT</t>
  </si>
  <si>
    <t>8 RUE DU PUITS DE BEL AIR</t>
  </si>
  <si>
    <t>PONS</t>
  </si>
  <si>
    <t>MAC MAHON</t>
  </si>
  <si>
    <t>PAUL</t>
  </si>
  <si>
    <t>12 RUE DE L'EGLISE</t>
  </si>
  <si>
    <t>ST SAVINIEN</t>
  </si>
  <si>
    <t>OMNES</t>
  </si>
  <si>
    <t>7 CITE SAINT JEAN</t>
  </si>
  <si>
    <t>COMMISSARIAT DE POLICE</t>
  </si>
  <si>
    <t>2 PLACE BASTION</t>
  </si>
  <si>
    <t>JUMEAU</t>
  </si>
  <si>
    <t>31 RUE EUGENE PELLETAN</t>
  </si>
  <si>
    <t>FRANCIS</t>
  </si>
  <si>
    <t>15 RUE ALEXANDRE RULLIER</t>
  </si>
  <si>
    <t>CARDINALE</t>
  </si>
  <si>
    <t>TERRAMORSI</t>
  </si>
  <si>
    <t>29 RUE PORT LA ROUSSELLE</t>
  </si>
  <si>
    <t>CONSTANTIN</t>
  </si>
  <si>
    <t xml:space="preserve">9 IMPASSE DES SALLES </t>
  </si>
  <si>
    <t>NIEUL LE VEIROUIL</t>
  </si>
  <si>
    <t xml:space="preserve">BONHOMME </t>
  </si>
  <si>
    <t>LOIC</t>
  </si>
  <si>
    <t>COGNAC</t>
  </si>
  <si>
    <t>MORRISSET</t>
  </si>
  <si>
    <t>20 RUE HOCHE</t>
  </si>
  <si>
    <t>CHATAIN</t>
  </si>
  <si>
    <t>ANDREE</t>
  </si>
  <si>
    <t>4 CHEMIN DES COMBES</t>
  </si>
  <si>
    <t>ETIENNE</t>
  </si>
  <si>
    <t>7 RUE GEORGES JACQUES Danton</t>
  </si>
  <si>
    <t>SCI KAHER</t>
  </si>
  <si>
    <t xml:space="preserve">2 RUE ANDRE LEMOINE </t>
  </si>
  <si>
    <t xml:space="preserve">SAINTES </t>
  </si>
  <si>
    <t xml:space="preserve">CHARLES </t>
  </si>
  <si>
    <t>PIERRE</t>
  </si>
  <si>
    <t xml:space="preserve">44 RUE ROUSSELET </t>
  </si>
  <si>
    <t xml:space="preserve">NIEUL LES SAINTES </t>
  </si>
  <si>
    <t>BARITEAU</t>
  </si>
  <si>
    <t>DAVID</t>
  </si>
  <si>
    <t>PAIN</t>
  </si>
  <si>
    <t>ARLETTE</t>
  </si>
  <si>
    <t xml:space="preserve">117 ROUTE DES VIGNERONS </t>
  </si>
  <si>
    <t>THOREAUD</t>
  </si>
  <si>
    <t>JACQUES</t>
  </si>
  <si>
    <t xml:space="preserve">31 RUE DE L'ALMA </t>
  </si>
  <si>
    <t xml:space="preserve">DUBIN </t>
  </si>
  <si>
    <t xml:space="preserve">SERGE </t>
  </si>
  <si>
    <t>LES PASSEREAUX</t>
  </si>
  <si>
    <t>17610 CHANIERS</t>
  </si>
  <si>
    <t>WALLACE</t>
  </si>
  <si>
    <t>4 RUE DE L'EGLISE</t>
  </si>
  <si>
    <t>CHALLOT</t>
  </si>
  <si>
    <t>57 RUE DE ST SORLIN</t>
  </si>
  <si>
    <t>A</t>
  </si>
  <si>
    <t>ROUTE DE SAINTES</t>
  </si>
  <si>
    <t>ST HILAIRE DE VILLEFRANCHE</t>
  </si>
  <si>
    <t>CHASSELOUP</t>
  </si>
  <si>
    <t>PALMIER</t>
  </si>
  <si>
    <t xml:space="preserve">39 CHEMIN DE LA METAIRIE </t>
  </si>
  <si>
    <t xml:space="preserve">PRICARD </t>
  </si>
  <si>
    <t>48 ROUTE DU GOLF</t>
  </si>
  <si>
    <t>BIGNON</t>
  </si>
  <si>
    <t xml:space="preserve">15 RUE DU CORMIER </t>
  </si>
  <si>
    <t>9 RUE DES ORMES</t>
  </si>
  <si>
    <t>MONTILS</t>
  </si>
  <si>
    <t>TOUBHANS</t>
  </si>
  <si>
    <t xml:space="preserve">8 RUE DES EGLANTINES </t>
  </si>
  <si>
    <t>MULLER</t>
  </si>
  <si>
    <t>PIERRETTE</t>
  </si>
  <si>
    <t>BALLET</t>
  </si>
  <si>
    <t>JEAN FRANCOIS</t>
  </si>
  <si>
    <t xml:space="preserve">26 RUE DES MARTINETS </t>
  </si>
  <si>
    <t>COLLE</t>
  </si>
  <si>
    <t>MOREAU</t>
  </si>
  <si>
    <t>MAURICE</t>
  </si>
  <si>
    <t>62 CHEMIN DE SENOUCHE</t>
  </si>
  <si>
    <t>BOISSON</t>
  </si>
  <si>
    <t>CAMILLE</t>
  </si>
  <si>
    <t>12 CHEMIN THIBAUD</t>
  </si>
  <si>
    <t xml:space="preserve">SIMATEK </t>
  </si>
  <si>
    <t>France</t>
  </si>
  <si>
    <t xml:space="preserve">38 ROUTE DE CHEZ THOREAU </t>
  </si>
  <si>
    <t>RENAUDIN</t>
  </si>
  <si>
    <t>21 RUE GRELAUD</t>
  </si>
  <si>
    <t>XAVIER</t>
  </si>
  <si>
    <t>HOFF</t>
  </si>
  <si>
    <t>DENIS</t>
  </si>
  <si>
    <t>5 RUE DES BROUILLAUDS</t>
  </si>
  <si>
    <t>JONZAC</t>
  </si>
  <si>
    <t>BESSON</t>
  </si>
  <si>
    <t xml:space="preserve">1 CHEMIN DU BOIS DES ROGERS </t>
  </si>
  <si>
    <t xml:space="preserve"> CASTELLO GIRAUDEAU </t>
  </si>
  <si>
    <t>BOULAIRE</t>
  </si>
  <si>
    <t xml:space="preserve">LAURENT </t>
  </si>
  <si>
    <t xml:space="preserve">24 RUE DE LA TAILLERIE </t>
  </si>
  <si>
    <t>ARRAS</t>
  </si>
  <si>
    <t xml:space="preserve">MAIF </t>
  </si>
  <si>
    <t>ASSURANCE</t>
  </si>
  <si>
    <t xml:space="preserve">1 RUE ABBE GREGOIRE </t>
  </si>
  <si>
    <t xml:space="preserve">LA ROCHELLE </t>
  </si>
  <si>
    <t xml:space="preserve">PICHARD </t>
  </si>
  <si>
    <t>CLAUDE</t>
  </si>
  <si>
    <t xml:space="preserve">6 RUE DE L'ABBE VEUILLE </t>
  </si>
  <si>
    <t>CAILLAUD</t>
  </si>
  <si>
    <t>JEAN MARIE</t>
  </si>
  <si>
    <t>1 IMPASSE DU SAPIN BLEU</t>
  </si>
  <si>
    <t>PEROCHAIN</t>
  </si>
  <si>
    <t>ROBERT</t>
  </si>
  <si>
    <t>32 RUE DU CHÂTEAU</t>
  </si>
  <si>
    <t xml:space="preserve">VENERAND </t>
  </si>
  <si>
    <t>BARROUILLET</t>
  </si>
  <si>
    <t>GUY</t>
  </si>
  <si>
    <t xml:space="preserve">31 RUE RACINE </t>
  </si>
  <si>
    <t>FAUVEL</t>
  </si>
  <si>
    <t>JC</t>
  </si>
  <si>
    <t>10 RUE DU BOIS DU PRIEUR</t>
  </si>
  <si>
    <t>ST LAURENT DE COGNAC</t>
  </si>
  <si>
    <t>UBBIALI</t>
  </si>
  <si>
    <t>CHRISTOPHE</t>
  </si>
  <si>
    <t>3 RUE DU COTEAU APPARTEMENT 408</t>
  </si>
  <si>
    <t>heure</t>
  </si>
  <si>
    <t xml:space="preserve">MAROT </t>
  </si>
  <si>
    <t xml:space="preserve">12 RTE DE L'ESCAMBOUILLE </t>
  </si>
  <si>
    <t>ARCADIAL</t>
  </si>
  <si>
    <t>BP 11 POLE TECHNIQUE ODYSEE 2</t>
  </si>
  <si>
    <t>COËX</t>
  </si>
  <si>
    <t>MEUNIER</t>
  </si>
  <si>
    <t>78 RUE ST EUTROPE</t>
  </si>
  <si>
    <t>SEDIS</t>
  </si>
  <si>
    <t>10 RUE PAULIN CHARRON</t>
  </si>
  <si>
    <t>IMMOBILIER</t>
  </si>
  <si>
    <t>ST GEORGES DES COTEAUX</t>
  </si>
  <si>
    <t xml:space="preserve">SCC </t>
  </si>
  <si>
    <t xml:space="preserve">COUTON </t>
  </si>
  <si>
    <t xml:space="preserve">JEAN MARIE </t>
  </si>
  <si>
    <t>CHEMIN DE BEAULIEU</t>
  </si>
  <si>
    <t>MICELI</t>
  </si>
  <si>
    <t>20 RUE DES CHENES</t>
  </si>
  <si>
    <t>CHERMIGNAC</t>
  </si>
  <si>
    <t xml:space="preserve">GUILLOT </t>
  </si>
  <si>
    <t xml:space="preserve">TOUREILLE </t>
  </si>
  <si>
    <t xml:space="preserve">3 RUE DES COLS VERTS </t>
  </si>
  <si>
    <t>ROCHEFORT</t>
  </si>
  <si>
    <t xml:space="preserve">CANON </t>
  </si>
  <si>
    <t>YVES</t>
  </si>
  <si>
    <t>1 BIS RUE TIBERE</t>
  </si>
  <si>
    <t>CHAUCHE</t>
  </si>
  <si>
    <t>10 RUE DU CLAIR LOGIS</t>
  </si>
  <si>
    <t xml:space="preserve">MAIRIE </t>
  </si>
  <si>
    <t xml:space="preserve">26 RUE DEUX SOURCES </t>
  </si>
  <si>
    <t xml:space="preserve">DE </t>
  </si>
  <si>
    <t xml:space="preserve">TEXIDO </t>
  </si>
  <si>
    <t>42 RTE DE BAUSSEUIL</t>
  </si>
  <si>
    <t>BOUCQ</t>
  </si>
  <si>
    <t>SUZETTE</t>
  </si>
  <si>
    <t>NARCEJAC</t>
  </si>
  <si>
    <t xml:space="preserve">BERTHELOT </t>
  </si>
  <si>
    <t xml:space="preserve">4 IMPASSE DES GALLAIS </t>
  </si>
  <si>
    <t xml:space="preserve">VERRIER </t>
  </si>
  <si>
    <t xml:space="preserve">15 RUE DE LA BASSE POMMERAIE </t>
  </si>
  <si>
    <t>PORT D'ENVAUX</t>
  </si>
  <si>
    <t xml:space="preserve">FOYER </t>
  </si>
  <si>
    <t>LOGEMENT</t>
  </si>
  <si>
    <t>LES TILLEULS</t>
  </si>
  <si>
    <t xml:space="preserve">7 RUE LA FENETRE </t>
  </si>
  <si>
    <t>MENBRUT</t>
  </si>
  <si>
    <t>LAURENT</t>
  </si>
  <si>
    <t>10 RUE CHATAIGNERS</t>
  </si>
  <si>
    <t xml:space="preserve">ZAC DES COTEAUX </t>
  </si>
  <si>
    <t xml:space="preserve">PEULON </t>
  </si>
  <si>
    <t>36 RUE DU BREUIL</t>
  </si>
  <si>
    <t>DOMPIERRE SUR CHARENTE</t>
  </si>
  <si>
    <t>PETIT</t>
  </si>
  <si>
    <t xml:space="preserve">20 RUE DU ROUSSILLON </t>
  </si>
  <si>
    <t>BILLON</t>
  </si>
  <si>
    <t>CYRILLE</t>
  </si>
  <si>
    <t xml:space="preserve">39 RUE VICTOR HUGO </t>
  </si>
  <si>
    <t>CARRIERES SUR SEINE</t>
  </si>
  <si>
    <t>FREMONT</t>
  </si>
  <si>
    <t>9 IMPASSE DES MORTIERS</t>
  </si>
  <si>
    <t>AUDUBERTEAU</t>
  </si>
  <si>
    <t>71 RUE DES CHARBONNIERS</t>
  </si>
  <si>
    <t xml:space="preserve">RICHARD </t>
  </si>
  <si>
    <t>JEAN-NICOLAS</t>
  </si>
  <si>
    <t>33 RUE CHARLES D'ANGIBEAU</t>
  </si>
  <si>
    <t xml:space="preserve">SICARD </t>
  </si>
  <si>
    <t>OLIVIER</t>
  </si>
  <si>
    <t>FERRON</t>
  </si>
  <si>
    <t>JEAN CLAUDE</t>
  </si>
  <si>
    <t>2 RTE MONTPENSE</t>
  </si>
  <si>
    <t>WARDI</t>
  </si>
  <si>
    <t>YOUSSEF</t>
  </si>
  <si>
    <t>14 CHEMIN DES CHAILS</t>
  </si>
  <si>
    <t>GRENOT</t>
  </si>
  <si>
    <t xml:space="preserve">PABAN </t>
  </si>
  <si>
    <t xml:space="preserve"> </t>
  </si>
  <si>
    <t xml:space="preserve"> 84 AVENUE DE JOURDAN</t>
  </si>
  <si>
    <t>DEVAUD</t>
  </si>
  <si>
    <t>MICKAEL</t>
  </si>
  <si>
    <t>43 ROUTE DE RICHAUDEAUX</t>
  </si>
  <si>
    <t xml:space="preserve">FONTCOUVERTE </t>
  </si>
  <si>
    <t>FONTCOUVERTE</t>
  </si>
  <si>
    <t>FOURCHAUD</t>
  </si>
  <si>
    <t xml:space="preserve">23 RUE DES ALOUETTES </t>
  </si>
  <si>
    <t xml:space="preserve">CLERFEUILLE </t>
  </si>
  <si>
    <t>8 RUE ALEXANDRE RULLIER</t>
  </si>
  <si>
    <t>LEIBBRAND</t>
  </si>
  <si>
    <t>HERMANN</t>
  </si>
  <si>
    <t xml:space="preserve">69 AVENUE CHARLES DE GAULLES </t>
  </si>
  <si>
    <t xml:space="preserve">BIOUL </t>
  </si>
  <si>
    <t>JEAN PIERRE</t>
  </si>
  <si>
    <t>21CHEMIN DU CHAILLOT</t>
  </si>
  <si>
    <t>THOMAS</t>
  </si>
  <si>
    <t>34 RUE DES MERISIERS</t>
  </si>
  <si>
    <t xml:space="preserve">PIMIENTA </t>
  </si>
  <si>
    <t>19 A RTE DE BEAUCHAIL</t>
  </si>
  <si>
    <t>BUSSAC SUR CHARENTE</t>
  </si>
  <si>
    <t>HERSANT</t>
  </si>
  <si>
    <t>GERARD</t>
  </si>
  <si>
    <t>9 RUE DU VIVIER</t>
  </si>
  <si>
    <t xml:space="preserve">35 B CHEMIN DES PINS </t>
  </si>
  <si>
    <t xml:space="preserve">RIPOCHE </t>
  </si>
  <si>
    <t xml:space="preserve">LE BLUTEAU </t>
  </si>
  <si>
    <t>CHERAC</t>
  </si>
  <si>
    <t>LACOSTE</t>
  </si>
  <si>
    <t>28 RUE CLAIRIERE</t>
  </si>
  <si>
    <t>LACAILLE</t>
  </si>
  <si>
    <t>4 ALLEE DES TOURNESOLS</t>
  </si>
  <si>
    <t xml:space="preserve">DE ST CESAIRE </t>
  </si>
  <si>
    <t>ST CESAIRE</t>
  </si>
  <si>
    <t>TESSON</t>
  </si>
  <si>
    <t xml:space="preserve">21 RUE  DE LA GRANDE METAIRIE </t>
  </si>
  <si>
    <t xml:space="preserve">ROUFFIAC </t>
  </si>
  <si>
    <t>50 RTE DE BEAUSSEUIL</t>
  </si>
  <si>
    <t xml:space="preserve">DUZON </t>
  </si>
  <si>
    <t xml:space="preserve">6 RUE DU COLONEL DE FAUCHET </t>
  </si>
  <si>
    <t>OCULI CHARBONNAUD</t>
  </si>
  <si>
    <t xml:space="preserve">Mr et Melle </t>
  </si>
  <si>
    <t>JOURDAIN</t>
  </si>
  <si>
    <t xml:space="preserve">CLAUDE </t>
  </si>
  <si>
    <t xml:space="preserve">4 RUE DU PETIT COUDRET </t>
  </si>
  <si>
    <t>GUILBOT</t>
  </si>
  <si>
    <t>32 ROUTE DE ST JEAN D'ANGELY</t>
  </si>
  <si>
    <t>AGENCE BRUN</t>
  </si>
  <si>
    <t>69 AVENUE GAMBETTA B.P 115</t>
  </si>
  <si>
    <t>SAINTES CEDEX</t>
  </si>
  <si>
    <t>SCHENK</t>
  </si>
  <si>
    <t xml:space="preserve">90 RUE DES VERGERS </t>
  </si>
  <si>
    <t>POUPARD</t>
  </si>
  <si>
    <t>35 AVENUE JOURDAN</t>
  </si>
  <si>
    <t>CHOUTEAU</t>
  </si>
  <si>
    <t>LA MOTTE A L'ŒUF 40 RTE TOURNEURS</t>
  </si>
  <si>
    <t xml:space="preserve">FRUTOS </t>
  </si>
  <si>
    <t xml:space="preserve">9 ALLEE DE LA CASTAGNARY </t>
  </si>
  <si>
    <t>JOSE</t>
  </si>
  <si>
    <t>DIAZ</t>
  </si>
  <si>
    <t xml:space="preserve"> 96 AVENUE DE JOURDAN</t>
  </si>
  <si>
    <t>PASCAL</t>
  </si>
  <si>
    <t xml:space="preserve">34 CHEMIIN BENON </t>
  </si>
  <si>
    <t>MERIGUET</t>
  </si>
  <si>
    <t>38 RUE AUGUSTE RATEAU</t>
  </si>
  <si>
    <t>Mr</t>
  </si>
  <si>
    <t>COULONGES</t>
  </si>
  <si>
    <t>CHEVAL</t>
  </si>
  <si>
    <t xml:space="preserve">CATHERINE </t>
  </si>
  <si>
    <t>LES SALANDIERES</t>
  </si>
  <si>
    <t>LE GUA</t>
  </si>
  <si>
    <t>RATAUD</t>
  </si>
  <si>
    <t>VAUVILLE</t>
  </si>
  <si>
    <t>NAVARRO</t>
  </si>
  <si>
    <t>37 AVENUE DE JOURDAN</t>
  </si>
  <si>
    <t xml:space="preserve">Mr et Mme  </t>
  </si>
  <si>
    <t>BABIN</t>
  </si>
  <si>
    <t xml:space="preserve">CHEZ MENARD </t>
  </si>
  <si>
    <t>MARTIN</t>
  </si>
  <si>
    <t>LOTISSEMENT</t>
  </si>
  <si>
    <t>CENDRE</t>
  </si>
  <si>
    <t>JEAN - JACQUES</t>
  </si>
  <si>
    <t>CHEMIN DU CHAILLOT</t>
  </si>
  <si>
    <t>BERMOUL</t>
  </si>
  <si>
    <t xml:space="preserve">12 RUE DES COLOMBES </t>
  </si>
  <si>
    <t>TERRIERE</t>
  </si>
  <si>
    <t>10 CHEMIN DE PABAN</t>
  </si>
  <si>
    <t>RATEAU</t>
  </si>
  <si>
    <t>CHEMIN DE SAINTES</t>
  </si>
  <si>
    <t>SAINTON</t>
  </si>
  <si>
    <t>19 AVENUE EUGENE PELLETAN</t>
  </si>
  <si>
    <t xml:space="preserve">ST GREORGES DE DIDONNE </t>
  </si>
  <si>
    <t>COURS DES DAMES</t>
  </si>
  <si>
    <t xml:space="preserve">Mme  </t>
  </si>
  <si>
    <t xml:space="preserve">LORET </t>
  </si>
  <si>
    <t>ml</t>
  </si>
  <si>
    <t xml:space="preserve">HARRISON </t>
  </si>
  <si>
    <t>2 ALLEE DE LA COUDRAIE</t>
  </si>
  <si>
    <t>42 RUE JEAN JAURES</t>
  </si>
  <si>
    <t>CEDRIC</t>
  </si>
  <si>
    <t>GRUMO</t>
  </si>
  <si>
    <t>20 RUE DE LA FONTAINE VARENNE</t>
  </si>
  <si>
    <t>GANY</t>
  </si>
  <si>
    <t>PAQUELET</t>
  </si>
  <si>
    <t xml:space="preserve">4 ROUTE DE BOIS LE ROI </t>
  </si>
  <si>
    <t>LEVARET</t>
  </si>
  <si>
    <t>JOEL</t>
  </si>
  <si>
    <t>88 BD DENFERT ROCHEREAU</t>
  </si>
  <si>
    <t xml:space="preserve">AGENCE </t>
  </si>
  <si>
    <t>EURO GESTION</t>
  </si>
  <si>
    <t xml:space="preserve">8 QUAI DE LA REPUBLIQUE </t>
  </si>
  <si>
    <t>06 03 46 36 93</t>
  </si>
  <si>
    <t>REBEIX</t>
  </si>
  <si>
    <t>HENRI</t>
  </si>
  <si>
    <t>90 BIS AVENUE JOURDAN</t>
  </si>
  <si>
    <t xml:space="preserve">GIRARDEAU </t>
  </si>
  <si>
    <t>JEAN YVES</t>
  </si>
  <si>
    <t>8 IMPASSE VARAIZERIE</t>
  </si>
  <si>
    <t>CPAM</t>
  </si>
  <si>
    <t>GESTION DE PATRIMOINE</t>
  </si>
  <si>
    <t>55/57 RUE DE SUEDE</t>
  </si>
  <si>
    <t>COEFFIC</t>
  </si>
  <si>
    <t>126 AVENUE DE SUZAC</t>
  </si>
  <si>
    <t>ST GEORGES DE DIDONNE</t>
  </si>
  <si>
    <t xml:space="preserve">MELLE </t>
  </si>
  <si>
    <t>BILLARD</t>
  </si>
  <si>
    <t xml:space="preserve">CELINE </t>
  </si>
  <si>
    <t>97 RUE GAUTHIER</t>
  </si>
  <si>
    <t>TARAIN</t>
  </si>
  <si>
    <t>80 RUE DE LA GROTTE</t>
  </si>
  <si>
    <t>DESCHAMPS</t>
  </si>
  <si>
    <t>BAT B  N° 60 RUE DE LA PLEIADE</t>
  </si>
  <si>
    <t xml:space="preserve">ROBERT </t>
  </si>
  <si>
    <t>77 RUE GARNIER</t>
  </si>
  <si>
    <t xml:space="preserve">BARBOTTEAU </t>
  </si>
  <si>
    <t xml:space="preserve">10 RUE DE BOURGOGNE </t>
  </si>
  <si>
    <t>KORBA</t>
  </si>
  <si>
    <t>44 BD DU MARECHAL DE LATTRE DE TASSIGNY</t>
  </si>
  <si>
    <t>CAILLEROT</t>
  </si>
  <si>
    <t xml:space="preserve">ST GENIS DE SAINTONGE </t>
  </si>
  <si>
    <t>BLANCHARD</t>
  </si>
  <si>
    <t xml:space="preserve">5 RUE DE LA FAUVETTE </t>
  </si>
  <si>
    <t>HUBERT</t>
  </si>
  <si>
    <t>3 RUE DU VIVIER</t>
  </si>
  <si>
    <t>MORIN</t>
  </si>
  <si>
    <t>8 CHEMIN DE L'OUME</t>
  </si>
  <si>
    <t>EN VOTRE AIMABLE REGLEMENT A RECEPTION.</t>
  </si>
  <si>
    <t>ROBIN</t>
  </si>
  <si>
    <t>THENAC</t>
  </si>
  <si>
    <t xml:space="preserve">4 RTE DE LA ROMADE </t>
  </si>
  <si>
    <t>LORDEL</t>
  </si>
  <si>
    <t>2 AVENUE JEAN MONNET</t>
  </si>
  <si>
    <t xml:space="preserve">CHARRIER </t>
  </si>
  <si>
    <t>29 AVENUE CHARLES DE GAULLE</t>
  </si>
  <si>
    <t xml:space="preserve">MALLET </t>
  </si>
  <si>
    <t>MARCELLE</t>
  </si>
  <si>
    <t>12 RUE DES ROSES JARLAC</t>
  </si>
  <si>
    <t xml:space="preserve">BUFFARD </t>
  </si>
  <si>
    <t>JEAN PAUL</t>
  </si>
  <si>
    <t>LOTISSEMENT DES BERGERONNETTES</t>
  </si>
  <si>
    <t>BRACHET</t>
  </si>
  <si>
    <t xml:space="preserve">1 CHEMIN DES VARENNES </t>
  </si>
  <si>
    <t>BETSCH</t>
  </si>
  <si>
    <t>5 CHEMIN DE LA PAUBLIERE</t>
  </si>
  <si>
    <t>MONTAZ</t>
  </si>
  <si>
    <t>6 BIS RUE MIRABEAU</t>
  </si>
  <si>
    <t xml:space="preserve">MR ET Mme </t>
  </si>
  <si>
    <t>GRANDILLON</t>
  </si>
  <si>
    <t xml:space="preserve">ASNIERES LA GIRAUD </t>
  </si>
  <si>
    <t>GORAUD</t>
  </si>
  <si>
    <t>3 PLACE COQUECHE</t>
  </si>
  <si>
    <t>BOUDEAU</t>
  </si>
  <si>
    <t>6 RUE DES DEUX SOURCES</t>
  </si>
  <si>
    <t>MR et Mme</t>
  </si>
  <si>
    <t xml:space="preserve"> MOUNIER</t>
  </si>
  <si>
    <t>GEORGES</t>
  </si>
  <si>
    <t>24 RUE CONDORCET</t>
  </si>
  <si>
    <t>SER</t>
  </si>
  <si>
    <t>MENUISERIE</t>
  </si>
  <si>
    <t>RUE DE MOUILLEPIED</t>
  </si>
  <si>
    <t>ST PORCHAIRE</t>
  </si>
  <si>
    <t xml:space="preserve">TROTIN </t>
  </si>
  <si>
    <t xml:space="preserve">TALON </t>
  </si>
  <si>
    <t>YVON</t>
  </si>
  <si>
    <t>2 RUE DU JARDIN DU ROY</t>
  </si>
  <si>
    <t xml:space="preserve">RENOUD </t>
  </si>
  <si>
    <t>Jean François</t>
  </si>
  <si>
    <t>1 LA DEPENSE</t>
  </si>
  <si>
    <t>CHADENAC</t>
  </si>
  <si>
    <t>RIMASSON</t>
  </si>
  <si>
    <t xml:space="preserve">5 RUE DE LA PETITE BAUCHE </t>
  </si>
  <si>
    <t xml:space="preserve"> 88 ROUTE VERGERS</t>
  </si>
  <si>
    <t xml:space="preserve">EL MANSOUR </t>
  </si>
  <si>
    <t>7 TERRE DE BEAULIEU</t>
  </si>
  <si>
    <t>BEGAUD</t>
  </si>
  <si>
    <t>PATRICK</t>
  </si>
  <si>
    <t xml:space="preserve">8 RUE DES PAQUERETTES </t>
  </si>
  <si>
    <t>ROYAN</t>
  </si>
  <si>
    <t>JARSON</t>
  </si>
  <si>
    <t>FRANCK</t>
  </si>
  <si>
    <t>4 ROUTE DU STADE</t>
  </si>
  <si>
    <t>SAINT GEORGES DES COTEAUX</t>
  </si>
  <si>
    <t>CORAN</t>
  </si>
  <si>
    <t xml:space="preserve">GIRAUX et Mme LAMIGE </t>
  </si>
  <si>
    <t xml:space="preserve">MARTELL </t>
  </si>
  <si>
    <t>7 PLACE EDOUARD MARTELL</t>
  </si>
  <si>
    <t xml:space="preserve">COGNAC CEDEX </t>
  </si>
  <si>
    <t>POINT P</t>
  </si>
  <si>
    <t xml:space="preserve">ROUTE HAUTE DE COGNAC </t>
  </si>
  <si>
    <t>COMI</t>
  </si>
  <si>
    <t>YANNICK</t>
  </si>
  <si>
    <t>11 RUE VALPASTOUR</t>
  </si>
  <si>
    <t>SAINT MEDARD D'AUNIS</t>
  </si>
  <si>
    <t xml:space="preserve">G F A </t>
  </si>
  <si>
    <t xml:space="preserve">7 PLACE AUX HERBES </t>
  </si>
  <si>
    <t>BARACAND</t>
  </si>
  <si>
    <t xml:space="preserve">20 ROUTE DU CHARENTON </t>
  </si>
  <si>
    <t xml:space="preserve">FOUCHER </t>
  </si>
  <si>
    <t>PATRICE</t>
  </si>
  <si>
    <t>9 RUE DE LA REPUBLIQUE</t>
  </si>
  <si>
    <t>DAMAME</t>
  </si>
  <si>
    <t xml:space="preserve">8 ROUTE DES RICHAUDEAUX </t>
  </si>
  <si>
    <t>DESTANDAU</t>
  </si>
  <si>
    <t xml:space="preserve">9 RUE DESMORTIER </t>
  </si>
  <si>
    <t>LE CERF</t>
  </si>
  <si>
    <t>SUZANNE</t>
  </si>
  <si>
    <t xml:space="preserve">8 RUE D'AUNIS </t>
  </si>
  <si>
    <t xml:space="preserve">PEUGEOT </t>
  </si>
  <si>
    <t>VIVIANNE</t>
  </si>
  <si>
    <t xml:space="preserve">28 AVENUE DE LA FALAISE </t>
  </si>
  <si>
    <t xml:space="preserve">COUDIN </t>
  </si>
  <si>
    <t>MARYLINE</t>
  </si>
  <si>
    <t xml:space="preserve">ROUTE DE LA CHAPELLE DES POTS </t>
  </si>
  <si>
    <t>ARDOUIN</t>
  </si>
  <si>
    <t xml:space="preserve">5 RUE SAINT VIVIEN </t>
  </si>
  <si>
    <t>VIOLLIER</t>
  </si>
  <si>
    <t>CLAUDINE</t>
  </si>
  <si>
    <t xml:space="preserve">ROUTE DES GUILLETEAUX </t>
  </si>
  <si>
    <t>COURIVAUD</t>
  </si>
  <si>
    <t xml:space="preserve">30 ROUTE DE THENAC </t>
  </si>
  <si>
    <t xml:space="preserve">GANTIER </t>
  </si>
  <si>
    <t>14 RUE LUTHER KING</t>
  </si>
  <si>
    <t xml:space="preserve">GILLET </t>
  </si>
  <si>
    <t xml:space="preserve">7 RUE DU VIEUX PORT </t>
  </si>
  <si>
    <t xml:space="preserve">MOELLINGER </t>
  </si>
  <si>
    <t>LIONEL</t>
  </si>
  <si>
    <t xml:space="preserve">2 RUE DES CHENES </t>
  </si>
  <si>
    <t>BOISSINOT</t>
  </si>
  <si>
    <t xml:space="preserve">6 RUE DU MOULIN DE LA GRILLE </t>
  </si>
  <si>
    <t>BOULZAT</t>
  </si>
  <si>
    <t xml:space="preserve">8 CHEMIN DES CROIX BLANCHES </t>
  </si>
  <si>
    <t>CORME ROYAL</t>
  </si>
  <si>
    <t>MAIILLET</t>
  </si>
  <si>
    <t xml:space="preserve">Alain </t>
  </si>
  <si>
    <t>33 CHEMIN GUEDAIN</t>
  </si>
  <si>
    <t>CAZELLE</t>
  </si>
  <si>
    <t xml:space="preserve">FRANCOIS XAVIER </t>
  </si>
  <si>
    <t>18 RUE DE L'ANCIENNE PRISON</t>
  </si>
  <si>
    <t xml:space="preserve">BOURDAIRE </t>
  </si>
  <si>
    <t>SYLVAIN</t>
  </si>
  <si>
    <t>IMPASSE DU CLUZEAU</t>
  </si>
  <si>
    <t>CHANCELADE</t>
  </si>
  <si>
    <t xml:space="preserve">BOUQUET </t>
  </si>
  <si>
    <t>JAMES</t>
  </si>
  <si>
    <t xml:space="preserve">118 ROUTE DU GOLF </t>
  </si>
  <si>
    <t>LIVERTOUX</t>
  </si>
  <si>
    <t>91 AVENUE JOURDAN</t>
  </si>
  <si>
    <t>BOISNARD</t>
  </si>
  <si>
    <t>REMY</t>
  </si>
  <si>
    <t xml:space="preserve">3 RUE DU STADE </t>
  </si>
  <si>
    <t>POIRET</t>
  </si>
  <si>
    <t>PHILIPPE</t>
  </si>
  <si>
    <t>m²</t>
  </si>
  <si>
    <t xml:space="preserve">LEJAMBLE </t>
  </si>
  <si>
    <t>BAT 8 APPART 41</t>
  </si>
  <si>
    <t>UDAF</t>
  </si>
  <si>
    <t>5 RUE DU BOIS D'HURE</t>
  </si>
  <si>
    <t>LAGORD</t>
  </si>
  <si>
    <t>GOUSSEAU</t>
  </si>
  <si>
    <t>35 RUE PAUL BONNIOT</t>
  </si>
  <si>
    <t>MANDON</t>
  </si>
  <si>
    <t>LUCETTE</t>
  </si>
  <si>
    <t>05 46 93 33 03</t>
  </si>
  <si>
    <t>36 RUE EUGENE PELLETAN</t>
  </si>
  <si>
    <t>SERIS</t>
  </si>
  <si>
    <t>PIERRE-YVES</t>
  </si>
  <si>
    <t>11 RUE CHANTE-AJASSE</t>
  </si>
  <si>
    <t>11 RUE ST MAUR</t>
  </si>
  <si>
    <t>VAN-EGROO</t>
  </si>
  <si>
    <t xml:space="preserve">MONNEAU </t>
  </si>
  <si>
    <t>91 ROUTE DES CHARMES</t>
  </si>
  <si>
    <t>ANNE</t>
  </si>
  <si>
    <t>18 RUE OCTAVE LAURAINE</t>
  </si>
  <si>
    <t>KONRAD</t>
  </si>
  <si>
    <t>22 RUE CHARLES GIDE</t>
  </si>
  <si>
    <t>ROFFE</t>
  </si>
  <si>
    <t>15 RUE RONSARD</t>
  </si>
  <si>
    <t>GRENON</t>
  </si>
  <si>
    <t>2 CHEMIN AVERTON</t>
  </si>
  <si>
    <t>JOULIN</t>
  </si>
  <si>
    <t>JAZENNES</t>
  </si>
  <si>
    <t>LE BOURG</t>
  </si>
  <si>
    <t xml:space="preserve">MC </t>
  </si>
  <si>
    <t>MAHON AND CO</t>
  </si>
  <si>
    <t>7 RUE CUVILLIERS</t>
  </si>
  <si>
    <t>mcmahonpaul@wanadoo.fr</t>
  </si>
  <si>
    <t xml:space="preserve">Melle </t>
  </si>
  <si>
    <t>69 RUE DES CHARBONNIERS</t>
  </si>
  <si>
    <t xml:space="preserve">DANIS </t>
  </si>
  <si>
    <t>9 RUE JEAN RACINE</t>
  </si>
  <si>
    <t xml:space="preserve">CHANIERS </t>
  </si>
  <si>
    <t>GUILLEMET</t>
  </si>
  <si>
    <t>GILBERT</t>
  </si>
  <si>
    <t>97 COURS GENET</t>
  </si>
  <si>
    <t>RUE DES OEILLETS</t>
  </si>
  <si>
    <t>M2A</t>
  </si>
  <si>
    <t>23 RUE JANEAU</t>
  </si>
  <si>
    <t>TROULLIER</t>
  </si>
  <si>
    <t xml:space="preserve">50 RUE ST GILLES </t>
  </si>
  <si>
    <t>PREVAUDEAU</t>
  </si>
  <si>
    <t>FRANCOISE</t>
  </si>
  <si>
    <t xml:space="preserve">135 RTE DE LA CHAPELLE DES POTS </t>
  </si>
  <si>
    <t>MAGNAN</t>
  </si>
  <si>
    <t>88 AVENUE JOURDAN</t>
  </si>
  <si>
    <t>5 CHEMIN PETITS PONTS</t>
  </si>
  <si>
    <t>LECHAIRE</t>
  </si>
  <si>
    <t>SYLVIE</t>
  </si>
  <si>
    <t>14 ROUTE DE L'OUMARIE</t>
  </si>
  <si>
    <t>BRIVES SUR CHARENTE</t>
  </si>
  <si>
    <t>DUSSOL</t>
  </si>
  <si>
    <t xml:space="preserve">2 RUE DES MARIES </t>
  </si>
  <si>
    <t>LEBOUCHARD</t>
  </si>
  <si>
    <t>BURIE</t>
  </si>
  <si>
    <t>4 CHEZ BALLANGER</t>
  </si>
  <si>
    <t>URBAIN</t>
  </si>
  <si>
    <t>112 RUE DU CHENE VERT</t>
  </si>
  <si>
    <t>PAILLAT</t>
  </si>
  <si>
    <t>11 RUE DES BOIFFIERS</t>
  </si>
  <si>
    <t>36 RUE DES BERGERONNETTES</t>
  </si>
  <si>
    <t>MERLE</t>
  </si>
  <si>
    <t>7 IMPASSE DU 19 MARS 1962</t>
  </si>
  <si>
    <t>PAQUET</t>
  </si>
  <si>
    <t>83 CHEMIN THIBAUD</t>
  </si>
  <si>
    <t>TITHURRALDE</t>
  </si>
  <si>
    <t>GINETTE</t>
  </si>
  <si>
    <t>LE CLOS DE LA SEIGNEURIE</t>
  </si>
  <si>
    <t>ANGIBEAU</t>
  </si>
  <si>
    <t>BEAULIEU</t>
  </si>
  <si>
    <t>MONIN</t>
  </si>
  <si>
    <t>PASQUAY</t>
  </si>
  <si>
    <t>1 IMPASSE HOCHE</t>
  </si>
  <si>
    <t>BOUHOUDI</t>
  </si>
  <si>
    <t xml:space="preserve">6 RUE DES CHAILLES </t>
  </si>
  <si>
    <t>ST BRIS DES BOIS</t>
  </si>
  <si>
    <t>11 RUE DES GRANDES FOUGERES</t>
  </si>
  <si>
    <t xml:space="preserve">Melle  </t>
  </si>
  <si>
    <t>BRUNET</t>
  </si>
  <si>
    <t>VIRGINIE</t>
  </si>
  <si>
    <t>NOEL</t>
  </si>
  <si>
    <t xml:space="preserve">29 CHEMIN DES ALOUETTES </t>
  </si>
  <si>
    <t>a</t>
  </si>
  <si>
    <t xml:space="preserve">FAURE </t>
  </si>
  <si>
    <t xml:space="preserve">LA BOUTINERIE </t>
  </si>
  <si>
    <t>CROIZET</t>
  </si>
  <si>
    <t>CHRISTIAN</t>
  </si>
  <si>
    <t>3 VOIE ROMAINE</t>
  </si>
  <si>
    <t xml:space="preserve">MAISSANT </t>
  </si>
  <si>
    <t>ROMAIN</t>
  </si>
  <si>
    <t>21 RUE VIROLLET</t>
  </si>
  <si>
    <t>PAILLE</t>
  </si>
  <si>
    <t>LARGEAU</t>
  </si>
  <si>
    <t>16 RUE DU MOULIN</t>
  </si>
  <si>
    <t xml:space="preserve">GAUTHIER </t>
  </si>
  <si>
    <t>LES GUILLOTEAUX</t>
  </si>
  <si>
    <t>RAUSER</t>
  </si>
  <si>
    <t>JOSEPH</t>
  </si>
  <si>
    <t>6 ROUTE DE BURIE</t>
  </si>
  <si>
    <t>POUVAUD</t>
  </si>
  <si>
    <t>27 CHEMIN DES GUILLOTEAUX</t>
  </si>
  <si>
    <t>IDE</t>
  </si>
  <si>
    <t>6 RUE DE BOURGOGNE</t>
  </si>
  <si>
    <t>LOUZAC ST ANDRE</t>
  </si>
  <si>
    <t>GUILLORY</t>
  </si>
  <si>
    <t>13 RUE DES BRUYERES</t>
  </si>
  <si>
    <t xml:space="preserve">Mr LANG </t>
  </si>
  <si>
    <t>et Mme HANNAFIN</t>
  </si>
  <si>
    <t>LA CHUCHERIE</t>
  </si>
  <si>
    <t>LA JARD</t>
  </si>
  <si>
    <t>FACTURE N°</t>
  </si>
  <si>
    <t>HERPIN</t>
  </si>
  <si>
    <t>16 ROUTE DE CHEZ DURANCEAU</t>
  </si>
  <si>
    <t>BERCLOUX</t>
  </si>
  <si>
    <t>RABATEL</t>
  </si>
  <si>
    <t>81 RUE EMILE ZOLA</t>
  </si>
  <si>
    <t>NEAU</t>
  </si>
  <si>
    <t>GENEVIEVE</t>
  </si>
  <si>
    <t>15 CHEMIN DES FOURS</t>
  </si>
  <si>
    <t>LYNCH</t>
  </si>
  <si>
    <t>19 RUE CHARLES DANGIBAUD</t>
  </si>
  <si>
    <t>COUPEAU</t>
  </si>
  <si>
    <t>CHEZ BOUYER</t>
  </si>
  <si>
    <t>BERTEAU</t>
  </si>
  <si>
    <t>ROUTE DE COGNAC</t>
  </si>
  <si>
    <t>2 RUE DE L'ECOLE</t>
  </si>
  <si>
    <t>23 CHEMIN CHAMPBOUDEAU</t>
  </si>
  <si>
    <t>SAINT-PIERRE</t>
  </si>
  <si>
    <t>Laurent</t>
  </si>
  <si>
    <t>DEBROSSE</t>
  </si>
  <si>
    <t>18 RUE DE VIRAUDERIE</t>
  </si>
  <si>
    <t>LUCHAT</t>
  </si>
  <si>
    <t>PROMIS</t>
  </si>
  <si>
    <t>15 RUE MONTAIGNE</t>
  </si>
  <si>
    <t>SORIGNY</t>
  </si>
  <si>
    <t>Emmanuel</t>
  </si>
  <si>
    <t>4 RUE DU COTEAUX</t>
  </si>
  <si>
    <t>MARCELLI</t>
  </si>
  <si>
    <t>Jean Luc</t>
  </si>
  <si>
    <t>39 RUE DES GENETS</t>
  </si>
  <si>
    <t>JC AUTO- MOTO ECOLE</t>
  </si>
  <si>
    <t xml:space="preserve">RAMANAÏDOU </t>
  </si>
  <si>
    <t xml:space="preserve">1 RUE DE LA PETITE BAUCHE </t>
  </si>
  <si>
    <t>TROUVE</t>
  </si>
  <si>
    <t>MELISSA</t>
  </si>
  <si>
    <t xml:space="preserve">COGNAC </t>
  </si>
  <si>
    <t>AUBRY</t>
  </si>
  <si>
    <t>DE BELLABRE</t>
  </si>
  <si>
    <t>1 ALLEE ESSART</t>
  </si>
  <si>
    <t xml:space="preserve">50 RUE DE LA GREVE </t>
  </si>
  <si>
    <t>LE MENI</t>
  </si>
  <si>
    <t>4 RUE DE LA BAUCHE</t>
  </si>
  <si>
    <t xml:space="preserve">DOMINIQUE </t>
  </si>
  <si>
    <t>JARNOUZEAU</t>
  </si>
  <si>
    <t>SAINT LAURENT DE COGNAC</t>
  </si>
  <si>
    <t>CLEMENCEAU</t>
  </si>
  <si>
    <t>7 RUE DU DAUPHINE</t>
  </si>
  <si>
    <t>Mr BOCHIN et Melle BORDIGAL</t>
  </si>
  <si>
    <t>6  LA GIRARDIERE</t>
  </si>
  <si>
    <t>SAINT CESAIRE</t>
  </si>
  <si>
    <t>METEREAU</t>
  </si>
  <si>
    <t>36 RUE JACQUES DE ROUX</t>
  </si>
  <si>
    <t>23 BIS RUE DU CHEMIN FERRE</t>
  </si>
  <si>
    <t>MAGNE</t>
  </si>
  <si>
    <t xml:space="preserve">4 RUE DES TISSERANDS </t>
  </si>
  <si>
    <t xml:space="preserve">NOLOSSET </t>
  </si>
  <si>
    <t>68 RUE GARNIER</t>
  </si>
  <si>
    <t xml:space="preserve">LABBE </t>
  </si>
  <si>
    <t>MARCEL</t>
  </si>
  <si>
    <t>29 CITE CHANTECAILLE</t>
  </si>
  <si>
    <t xml:space="preserve">LOUZAC </t>
  </si>
  <si>
    <t>OUVRARD</t>
  </si>
  <si>
    <t>CHEMIN LA GADECIERE</t>
  </si>
  <si>
    <t>MENARD</t>
  </si>
  <si>
    <t>13 ALLEE DES MESANGES</t>
  </si>
  <si>
    <t xml:space="preserve">LARCHER </t>
  </si>
  <si>
    <t>CHEZ BELOT</t>
  </si>
  <si>
    <t>FACTURE DE</t>
  </si>
  <si>
    <t>RAOULT</t>
  </si>
  <si>
    <t>BOIS</t>
  </si>
  <si>
    <t>mr bricolage</t>
  </si>
  <si>
    <t>ouvrier</t>
  </si>
  <si>
    <t>stagiaire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</si>
  <si>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</si>
  <si>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</si>
  <si>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</si>
  <si>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</si>
  <si>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</si>
  <si>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</si>
  <si>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</si>
  <si>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</si>
  <si>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</si>
  <si>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</si>
  <si>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</si>
  <si>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</si>
  <si>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total</t>
  </si>
  <si>
    <t xml:space="preserve">coefficient </t>
  </si>
  <si>
    <t>total final</t>
  </si>
  <si>
    <t>moi</t>
  </si>
  <si>
    <t>CODE TVA</t>
  </si>
  <si>
    <t>epaisseur mm</t>
  </si>
  <si>
    <t xml:space="preserve">longueur mm </t>
  </si>
  <si>
    <t xml:space="preserve">quantité </t>
  </si>
  <si>
    <t>cubage</t>
  </si>
  <si>
    <t>bois</t>
  </si>
  <si>
    <t>prix du niangon à l'achat</t>
  </si>
  <si>
    <t>cubage→</t>
  </si>
  <si>
    <t>← prix en bois</t>
  </si>
  <si>
    <t xml:space="preserve"> la perte estimé en % à →</t>
  </si>
  <si>
    <t>← perte du bois</t>
  </si>
  <si>
    <t>cubage définitif avec perte→</t>
  </si>
  <si>
    <t xml:space="preserve">largeur mm </t>
  </si>
  <si>
    <t>← prix sans 1,3</t>
  </si>
  <si>
    <t>← prix revente avec 1,3</t>
  </si>
  <si>
    <t>prix du pin à l'achat</t>
  </si>
  <si>
    <t>prix du red cedar à l'achat</t>
  </si>
  <si>
    <t>COUTEAU</t>
  </si>
  <si>
    <t>10 RUE DES SABLONS</t>
  </si>
  <si>
    <t xml:space="preserve">FOUCHE </t>
  </si>
  <si>
    <t>29 ROUTE DU GOLF</t>
  </si>
  <si>
    <t>BIETTE</t>
  </si>
  <si>
    <t>35 ROUTE DES PECHEURS</t>
  </si>
  <si>
    <t>TECHNIGAINE</t>
  </si>
  <si>
    <t>CHEMIN DE LISSANDRE</t>
  </si>
  <si>
    <t>CENON CEDEX</t>
  </si>
  <si>
    <t>VOLPATO</t>
  </si>
  <si>
    <t>VALERIE</t>
  </si>
  <si>
    <t>LA CANTINE</t>
  </si>
  <si>
    <t>AUBERGE DE JEUNESSE</t>
  </si>
  <si>
    <t>2 PLACE GEOFFROY MARTELL</t>
  </si>
  <si>
    <t>24 RUE DES DOUTEAUX</t>
  </si>
  <si>
    <t>14 AVENUE DES GOELANDS</t>
  </si>
  <si>
    <t>PYLA SUR MER</t>
  </si>
  <si>
    <t xml:space="preserve">SARL </t>
  </si>
  <si>
    <t>GAUDY-BONNEAU</t>
  </si>
  <si>
    <t>19 CHEMIN FERRE</t>
  </si>
  <si>
    <t>DUPUY</t>
  </si>
  <si>
    <t xml:space="preserve"> 1 AVENUE DE TERREFORT </t>
  </si>
  <si>
    <t>CHAUVIN</t>
  </si>
  <si>
    <t>CLARISSE</t>
  </si>
  <si>
    <t xml:space="preserve">LE  </t>
  </si>
  <si>
    <t>HUORT</t>
  </si>
  <si>
    <t>16 IMPASSE CERISAIE</t>
  </si>
  <si>
    <t>CHAINAUD</t>
  </si>
  <si>
    <t xml:space="preserve">4 CHEMIN DES PETITS PONTS </t>
  </si>
  <si>
    <t>RAMEAUX</t>
  </si>
  <si>
    <t>8 RUE DU BOIS DE TERREFORT</t>
  </si>
  <si>
    <t>CLEMENT ARNAUX</t>
  </si>
  <si>
    <t xml:space="preserve">44 RUE DE LORMONT </t>
  </si>
  <si>
    <t>GUILGOT</t>
  </si>
  <si>
    <t>SEBASTIEN</t>
  </si>
  <si>
    <t>26 RUE DESMORTIERS</t>
  </si>
  <si>
    <t>GARNIER</t>
  </si>
  <si>
    <t xml:space="preserve">17 RUE DU MAINE </t>
  </si>
  <si>
    <t>GOBERT</t>
  </si>
  <si>
    <t xml:space="preserve">34 RUE DU BOIS TAILLIS </t>
  </si>
  <si>
    <t>SOUDY</t>
  </si>
  <si>
    <t xml:space="preserve">IVRY SUR SEINE </t>
  </si>
  <si>
    <t>36 RUE RASPAIL</t>
  </si>
  <si>
    <t>KIRKWOOD</t>
  </si>
  <si>
    <t>3 IMPASSE DE BOUET</t>
  </si>
  <si>
    <t>PERONNEAUD</t>
  </si>
  <si>
    <t>48 CHEMIN BERTAUD</t>
  </si>
  <si>
    <t>JEAN</t>
  </si>
  <si>
    <t>8 RUE DE L'ALANDIER</t>
  </si>
  <si>
    <t xml:space="preserve">RATAUD </t>
  </si>
  <si>
    <t>FONTAINE POUVET</t>
  </si>
  <si>
    <t>MARIA</t>
  </si>
  <si>
    <t>8 RUE DU PUITS</t>
  </si>
  <si>
    <t>LA FREDIERE</t>
  </si>
  <si>
    <t>BUCHARD</t>
  </si>
  <si>
    <t>139 ROUTE DU NIEUL</t>
  </si>
  <si>
    <t>PROUX</t>
  </si>
  <si>
    <t xml:space="preserve">47 BIS RUE EMILE ZOLA </t>
  </si>
  <si>
    <t>MORVAN</t>
  </si>
  <si>
    <t>85 RUE GARNIER</t>
  </si>
  <si>
    <t>NEVEU</t>
  </si>
  <si>
    <t>FREDERIC</t>
  </si>
  <si>
    <t>12 RUE REMUSAT</t>
  </si>
  <si>
    <t>PARIS</t>
  </si>
  <si>
    <t xml:space="preserve">ALIGANT </t>
  </si>
  <si>
    <t>44 C RUE ABBE VIEUILLE</t>
  </si>
  <si>
    <t>PARISSE</t>
  </si>
  <si>
    <t>REBECCA</t>
  </si>
  <si>
    <t>10 CHEMIN DE L'ALANDIER</t>
  </si>
  <si>
    <t>CANAGUIER</t>
  </si>
  <si>
    <t>51 RUE DANIEL MASSIOU</t>
  </si>
  <si>
    <t>JULIEN</t>
  </si>
  <si>
    <t xml:space="preserve">27 CHEMIN DES CROISIERES </t>
  </si>
  <si>
    <t>JAULIN</t>
  </si>
  <si>
    <t>31 RUE MARCELIN BERTHELOT</t>
  </si>
  <si>
    <t>VERGER</t>
  </si>
  <si>
    <t>MATHIEU</t>
  </si>
  <si>
    <t>60 RTE DE NIEUL LA PEIGNERIE</t>
  </si>
  <si>
    <t xml:space="preserve">PESSINES </t>
  </si>
  <si>
    <t xml:space="preserve">4 CHEMIN DE BEAUMAINE </t>
  </si>
  <si>
    <t>8 RUE BEAUSEJOUR</t>
  </si>
  <si>
    <t>MOUNIER</t>
  </si>
  <si>
    <t>GILLES</t>
  </si>
  <si>
    <t>22 RUE CLEMENCEAU</t>
  </si>
  <si>
    <t>TIRBOIS</t>
  </si>
  <si>
    <t>NICOLE</t>
  </si>
  <si>
    <t xml:space="preserve">15 RUE DES TISSERANDS </t>
  </si>
  <si>
    <t>LAUDAS</t>
  </si>
  <si>
    <t>MAUD</t>
  </si>
  <si>
    <t>1 CHEMIN DES VIGNES</t>
  </si>
  <si>
    <t>BLANC</t>
  </si>
  <si>
    <t>25 RUE VICTOR HUGO</t>
  </si>
  <si>
    <t>ROLLAND</t>
  </si>
  <si>
    <t>28 ROUTE DE ROYAN</t>
  </si>
  <si>
    <t>55 RUE ST PALLAIS</t>
  </si>
  <si>
    <t>BITON</t>
  </si>
  <si>
    <t>4  RUE DE L'ECHELLE</t>
  </si>
  <si>
    <t>OUDET</t>
  </si>
  <si>
    <t xml:space="preserve">GRELET </t>
  </si>
  <si>
    <t>28 ALLEE ST EXUPERY</t>
  </si>
  <si>
    <t>PLAISANCE DU TOUCH</t>
  </si>
  <si>
    <t>TOURNEUR</t>
  </si>
  <si>
    <t>LES CROIX BLANCHE</t>
  </si>
  <si>
    <t>GODIGNON</t>
  </si>
  <si>
    <t>11 TERRE CHEM DE LA METAIRIE DE LA GRANGE</t>
  </si>
  <si>
    <t>2 LA BOUTINERIE</t>
  </si>
  <si>
    <t>GUILLAUME</t>
  </si>
  <si>
    <t>5 RUE DU PETIT PONTS</t>
  </si>
  <si>
    <t>GERVRAUD</t>
  </si>
  <si>
    <t>3 D RUE EUGENE MOUSNIER</t>
  </si>
  <si>
    <t>SAUJON</t>
  </si>
  <si>
    <t>DUPIN</t>
  </si>
  <si>
    <t>92 ROUTE PORT LA PIERRE</t>
  </si>
  <si>
    <t>SAINT VAIZE</t>
  </si>
  <si>
    <t xml:space="preserve">Mr  </t>
  </si>
  <si>
    <t>BRUNETEAU</t>
  </si>
  <si>
    <t>CHEMIN DE GATEFER</t>
  </si>
  <si>
    <t>PEREZ</t>
  </si>
  <si>
    <t>9 IMPASSE FRANCOIS VILLON</t>
  </si>
  <si>
    <t>DURANCEAU</t>
  </si>
  <si>
    <t>3 RUE CHAMPLAIN</t>
  </si>
  <si>
    <t>COLDEBOEUF</t>
  </si>
  <si>
    <t>9 CHEZ PREVAUDEAU</t>
  </si>
  <si>
    <t>GOGUET</t>
  </si>
  <si>
    <t>2 RUE DE LA PLANCHE</t>
  </si>
  <si>
    <t>LES NOUILLERS</t>
  </si>
  <si>
    <t>26 RUE DURET</t>
  </si>
  <si>
    <t>PINEAU</t>
  </si>
  <si>
    <t>GAINVILLE</t>
  </si>
  <si>
    <t>SICAUD et Melle RENOUD</t>
  </si>
  <si>
    <t>22 RUE ST MARTIN</t>
  </si>
  <si>
    <t>GUERINET</t>
  </si>
  <si>
    <t>8 RUE CHAMPLAIN</t>
  </si>
  <si>
    <t>CHEZ CHARPENTIER</t>
  </si>
  <si>
    <t>CHOLLET</t>
  </si>
  <si>
    <t>HERVE</t>
  </si>
  <si>
    <t>LES ESSARTS</t>
  </si>
  <si>
    <t>COUPRIE</t>
  </si>
  <si>
    <t>7 RUE DU FIEF RIGATEAU</t>
  </si>
  <si>
    <t>BUI DINH</t>
  </si>
  <si>
    <t>19 RUE BURGAUD DESMARETS</t>
  </si>
  <si>
    <t>DAUBIGNE</t>
  </si>
  <si>
    <t>RAFFIN</t>
  </si>
  <si>
    <t>71A CHEMIN CHAMPS DES VIGNES</t>
  </si>
  <si>
    <t>GREGOIRE</t>
  </si>
  <si>
    <t>ODETTE</t>
  </si>
  <si>
    <t>128 RUE DES JONQUILLES</t>
  </si>
  <si>
    <t>GASPARDEL</t>
  </si>
  <si>
    <t>LES BAUCHES DE GATERAT</t>
  </si>
  <si>
    <t>42 RUE EUGENE PELLETAN</t>
  </si>
  <si>
    <t>ROBREAU</t>
  </si>
  <si>
    <t>DANY</t>
  </si>
  <si>
    <t>1 MONTPLAISIR</t>
  </si>
  <si>
    <t>FLOUREZ</t>
  </si>
  <si>
    <t>4/40 RUE CAMILLE ST SAENS</t>
  </si>
  <si>
    <t>RONCHIN</t>
  </si>
  <si>
    <t>86 RUE MARGUERITE DE NAVARRE</t>
  </si>
  <si>
    <t>41 RUE VICTOR HUGO</t>
  </si>
  <si>
    <t>ROUSSEAU</t>
  </si>
  <si>
    <t>25 ROUTE DE BORDEAUX</t>
  </si>
  <si>
    <t>COUTIN</t>
  </si>
  <si>
    <t>BOUYER</t>
  </si>
  <si>
    <t>18 RUE D'OLERON</t>
  </si>
  <si>
    <t>NANCRAS</t>
  </si>
  <si>
    <t>THUREAU</t>
  </si>
  <si>
    <t>48 CHEMIN DE LA LISIERE</t>
  </si>
  <si>
    <t>ANDREW</t>
  </si>
  <si>
    <t>JACKSON</t>
  </si>
  <si>
    <t>3 CHEMIN DU PUITS</t>
  </si>
  <si>
    <t>SALIGNAC SUR CHARENTE</t>
  </si>
  <si>
    <t>MAYARD</t>
  </si>
  <si>
    <t>SUD OUEST ETALAGES</t>
  </si>
  <si>
    <t>Z.A LA GALIVE</t>
  </si>
  <si>
    <t>BRIVE</t>
  </si>
  <si>
    <t>BP3C</t>
  </si>
  <si>
    <t>FIEF DES GALLOIS</t>
  </si>
  <si>
    <t>ANGIBAUD</t>
  </si>
  <si>
    <t>SAINT PORCHAIRE</t>
  </si>
  <si>
    <t>GUICHARD</t>
  </si>
  <si>
    <t>6 RUE DES ROLLANDS</t>
  </si>
  <si>
    <t>ECOYEUX</t>
  </si>
  <si>
    <t xml:space="preserve">DUBINY </t>
  </si>
  <si>
    <t>10 RUE FONTAINE POUVET</t>
  </si>
  <si>
    <t>LUMIERE</t>
  </si>
  <si>
    <t xml:space="preserve">5 RUE ALICE BOUCHERON </t>
  </si>
  <si>
    <t>BOURGES</t>
  </si>
  <si>
    <t xml:space="preserve">GELIN </t>
  </si>
  <si>
    <t>2 RUE DU 19 MARS</t>
  </si>
  <si>
    <t>12 ROUTE DE SAINTES</t>
  </si>
  <si>
    <t>BERTRAND</t>
  </si>
  <si>
    <t>SAINT AUGUSTIN</t>
  </si>
  <si>
    <t>DE FELIGONDE</t>
  </si>
  <si>
    <t>LA DIXMERIE</t>
  </si>
  <si>
    <t>SAMSON</t>
  </si>
  <si>
    <t>JEAN MICHEL</t>
  </si>
  <si>
    <t>12 RUE DE L'ANCIENNE PRISON</t>
  </si>
  <si>
    <t>14 COURS LEMERCIER</t>
  </si>
  <si>
    <t xml:space="preserve">LA DEPENSE </t>
  </si>
  <si>
    <t>TRANCHET</t>
  </si>
  <si>
    <t>MARC</t>
  </si>
  <si>
    <t>24 AVENUE DE GAMBETTA</t>
  </si>
  <si>
    <t>MARIE France</t>
  </si>
  <si>
    <t>15 B RUE DES JONCS</t>
  </si>
  <si>
    <t>ST AUGUSTIN</t>
  </si>
  <si>
    <t xml:space="preserve">ETS </t>
  </si>
  <si>
    <t>DEVAUD et Melle THOMAS</t>
  </si>
  <si>
    <t>BOURGEOIS</t>
  </si>
  <si>
    <t>CYRIL</t>
  </si>
  <si>
    <t>CARINE</t>
  </si>
  <si>
    <t xml:space="preserve">4 RUE DES CYCLAMENS </t>
  </si>
  <si>
    <t>ROSSI</t>
  </si>
  <si>
    <t xml:space="preserve">9 IMPASSE DES CAPUCINES </t>
  </si>
  <si>
    <t>BULIS</t>
  </si>
  <si>
    <t xml:space="preserve">12 AVENUE GAMBETTA </t>
  </si>
  <si>
    <t>BORDIER</t>
  </si>
  <si>
    <t>BARON</t>
  </si>
  <si>
    <t xml:space="preserve">RAYMONDE </t>
  </si>
  <si>
    <t xml:space="preserve">6 RUE DES ORMES </t>
  </si>
  <si>
    <t>BETELAUD</t>
  </si>
  <si>
    <t>11 BIS RUE DESMORTIERS</t>
  </si>
  <si>
    <t>ENTREPOT DU BOIS BDR SA</t>
  </si>
  <si>
    <t>1 ROUTE DE POITIERS</t>
  </si>
  <si>
    <t>POURSAY-GARNAUD</t>
  </si>
  <si>
    <t>AUDREY</t>
  </si>
  <si>
    <t>1 RUE PASCAL COMBEAU</t>
  </si>
  <si>
    <t>LA CLISSE</t>
  </si>
  <si>
    <t xml:space="preserve">MONTILLON </t>
  </si>
  <si>
    <t>Mme BUOL</t>
  </si>
  <si>
    <t xml:space="preserve">30 ROUTE CITE BLANCHE NEIGE </t>
  </si>
  <si>
    <t>DUBOIS</t>
  </si>
  <si>
    <t>32 B CHEMIN CHAILLOT</t>
  </si>
  <si>
    <t>Mme GRENOT LAURENCE</t>
  </si>
  <si>
    <t>ROUDIER</t>
  </si>
  <si>
    <t>DOMINIQUIE</t>
  </si>
  <si>
    <t>73 ROUTE DE MONROY</t>
  </si>
  <si>
    <t>Mme DUBECQ V.</t>
  </si>
  <si>
    <t>PAIVET C.</t>
  </si>
  <si>
    <t>BEURLAY</t>
  </si>
  <si>
    <t>JEREMY</t>
  </si>
  <si>
    <t>SAINT CLAUDE</t>
  </si>
  <si>
    <t>IMPASSE DES ROSES DE PORCELAINE</t>
  </si>
  <si>
    <t>COLLINET</t>
  </si>
  <si>
    <t>91 RUE EMILE ZOLA</t>
  </si>
  <si>
    <t>SAVARY</t>
  </si>
  <si>
    <t>NANETTE</t>
  </si>
  <si>
    <t xml:space="preserve">33 RUE MONTPLAISIR </t>
  </si>
  <si>
    <t>BARBOTIN</t>
  </si>
  <si>
    <t>RUE D'ARDILLIERES</t>
  </si>
  <si>
    <t>CIRE D'AUNIS</t>
  </si>
  <si>
    <t>SEINCE</t>
  </si>
  <si>
    <t>VARAIZE</t>
  </si>
  <si>
    <t>11 GRANDE RUE</t>
  </si>
  <si>
    <t>ELISABETH</t>
  </si>
  <si>
    <t xml:space="preserve">PETIT </t>
  </si>
  <si>
    <t>23 RUE DU LYCEE AGRICOLE</t>
  </si>
  <si>
    <t>TOITS DE SAINTONGE</t>
  </si>
  <si>
    <t>BERNARD  BATAILLE</t>
  </si>
  <si>
    <t xml:space="preserve">BERNARD </t>
  </si>
  <si>
    <t>J</t>
  </si>
  <si>
    <t>4 RUE SAINT MICHEL</t>
  </si>
  <si>
    <t>LECUNFF</t>
  </si>
  <si>
    <t>MANO</t>
  </si>
  <si>
    <t>GALINAT</t>
  </si>
  <si>
    <t>14 CHEZ BOURAUD</t>
  </si>
  <si>
    <t>LASTERNAS</t>
  </si>
  <si>
    <t>39 CHEMIN DES GENETS</t>
  </si>
  <si>
    <t>TEXIER</t>
  </si>
  <si>
    <t>9 CHEMIN DES EPERVIERS</t>
  </si>
  <si>
    <t>Mme BENHAMOU E</t>
  </si>
  <si>
    <t>THEZAC</t>
  </si>
  <si>
    <t>GRANDCOING</t>
  </si>
  <si>
    <t>BMC17</t>
  </si>
  <si>
    <t>5 ROUTE DES VERGERS</t>
  </si>
  <si>
    <t xml:space="preserve">CAILLAT </t>
  </si>
  <si>
    <t>1 ROUTE DE LA GRIMAUDERIE</t>
  </si>
  <si>
    <t>CHATEAUBERNARD</t>
  </si>
  <si>
    <t>ROGER</t>
  </si>
  <si>
    <t>LOTISSEMENT LA PETITE COMBE</t>
  </si>
  <si>
    <t>DUQUESNE</t>
  </si>
  <si>
    <t>3 PASSAGE DAUBONNEAU</t>
  </si>
  <si>
    <t>ELLUL</t>
  </si>
  <si>
    <t>3 RUE DE CHAMPAGNE</t>
  </si>
  <si>
    <t>DANTON</t>
  </si>
  <si>
    <t>6 CHEZ MALLET</t>
  </si>
  <si>
    <t>ROHART</t>
  </si>
  <si>
    <t>JEREMIE</t>
  </si>
  <si>
    <t>AVENUE DE JOURDAN</t>
  </si>
  <si>
    <t>BESSAGUET</t>
  </si>
  <si>
    <t>9 ROUTE DES VERGERS</t>
  </si>
  <si>
    <t>SCHMITZ</t>
  </si>
  <si>
    <t>GABRIELLE</t>
  </si>
  <si>
    <t>LA VOUTE</t>
  </si>
  <si>
    <t>BREVILLE</t>
  </si>
  <si>
    <t>1 RUE DES GENETS</t>
  </si>
  <si>
    <t>VARZAY</t>
  </si>
  <si>
    <t xml:space="preserve">SDC </t>
  </si>
  <si>
    <t xml:space="preserve">RESIDENCE DU PARC </t>
  </si>
  <si>
    <t>REPRESENTE PAR FONCIA A2B</t>
  </si>
  <si>
    <t>SPRIET</t>
  </si>
  <si>
    <t>29 ROUTE DE LA CROIX ROUGE</t>
  </si>
  <si>
    <t>RUE DES MARTINETS</t>
  </si>
  <si>
    <t xml:space="preserve">MICHEL </t>
  </si>
  <si>
    <t>RESIDENCE DES ORMEAUX</t>
  </si>
  <si>
    <t>christopher</t>
  </si>
  <si>
    <t>MOI</t>
  </si>
  <si>
    <t>TOTAL A PAYER</t>
  </si>
  <si>
    <t>signature ( bon pour accord)</t>
  </si>
  <si>
    <t>dechetterie</t>
  </si>
  <si>
    <t>JOINTEUR</t>
  </si>
  <si>
    <t>DEVIS ESTIMATIF</t>
  </si>
  <si>
    <t>11 RUE DES TERRES  DE BEAULIEU</t>
  </si>
  <si>
    <t>DANIELLE</t>
  </si>
  <si>
    <t>BONDUEL</t>
  </si>
  <si>
    <t>GAILLARD</t>
  </si>
  <si>
    <t>3 IMPASSE DE LA TURPAUDIERE</t>
  </si>
  <si>
    <t>FACTURE D'ACOMPTE N°</t>
  </si>
  <si>
    <r>
      <t xml:space="preserve">                                     </t>
    </r>
    <r>
      <rPr>
        <b/>
        <u/>
        <sz val="22"/>
        <color indexed="12"/>
        <rFont val="Times New Roman"/>
        <family val="1"/>
      </rPr>
      <t xml:space="preserve">MENUISERIE BOIS-PVC-ALU. CHARPENTE.ESCALIER.ISOLATION.CLOISON SECHE   </t>
    </r>
  </si>
  <si>
    <t>MONTETY</t>
  </si>
  <si>
    <t>VERSAILLES</t>
  </si>
  <si>
    <t>12 AVENUE PORCHEFONTAINE</t>
  </si>
  <si>
    <r>
      <t>RESERVE DE PROPRIETE</t>
    </r>
    <r>
      <rPr>
        <sz val="10"/>
        <rFont val="Arial"/>
        <family val="2"/>
      </rPr>
      <t>: Passé cette date, il sera fait application d'une pénalité égale à 15%. Escompte néant</t>
    </r>
  </si>
  <si>
    <t>SI ACCEPTATION UN EXEMPLAIRE A RETOURNER SIGNE</t>
  </si>
  <si>
    <t>AVEC UN ACOMPTE DE 30% D'UN MONTANT DE</t>
  </si>
  <si>
    <t>CHATELAIN</t>
  </si>
  <si>
    <t>MARLENE</t>
  </si>
  <si>
    <t>1 RUE DU BREUIL</t>
  </si>
  <si>
    <t>FLEAC SUR SEUGNE</t>
  </si>
  <si>
    <t>AUDONNET</t>
  </si>
  <si>
    <t>CHRISTINE</t>
  </si>
  <si>
    <t>10 CHEMIN SIMONNEAU</t>
  </si>
  <si>
    <t>RENAUD</t>
  </si>
  <si>
    <t>12 IMPASSE FRANCOIS VILLON</t>
  </si>
  <si>
    <t>si 2 page</t>
  </si>
  <si>
    <t>ACOMPTE</t>
  </si>
  <si>
    <t>INTITULE</t>
  </si>
  <si>
    <t>CODE CLIENT</t>
  </si>
  <si>
    <t>TVA</t>
  </si>
  <si>
    <t>DIZAC</t>
  </si>
  <si>
    <t>9 CHEMIN DU SIROT</t>
  </si>
  <si>
    <t>REBOUX</t>
  </si>
  <si>
    <t>20 RUE MONTAIGNE</t>
  </si>
  <si>
    <t>COMMEAU</t>
  </si>
  <si>
    <t>CHEMIN DE BEAUMAINE</t>
  </si>
  <si>
    <t xml:space="preserve">      T.V.A 20% (Code TVA 1)</t>
  </si>
  <si>
    <t>T.V.A 10 % (Code TVA 2)</t>
  </si>
  <si>
    <t>T.V.A 5,5 % (Code TVA 3)</t>
  </si>
  <si>
    <t>BARAT</t>
  </si>
  <si>
    <t>RUE BERNARD CERIZIER</t>
  </si>
  <si>
    <t>SICARD et Melle VIOLLIET</t>
  </si>
  <si>
    <t>ROUTE DU VAL DE CHARENTE</t>
  </si>
  <si>
    <t>CHEVILLARD</t>
  </si>
  <si>
    <t>BROUSSE</t>
  </si>
  <si>
    <t>2 ROUTE DE FOUSSIGNAC</t>
  </si>
  <si>
    <t>JARNAC</t>
  </si>
  <si>
    <t>LEJOUR</t>
  </si>
  <si>
    <t>ANNITA</t>
  </si>
  <si>
    <t>169 RUE SAINT GILLES</t>
  </si>
  <si>
    <t>78 RUE SAINT EUTROPE</t>
  </si>
  <si>
    <t>ANUS</t>
  </si>
  <si>
    <t>WOOD / GRAHAME</t>
  </si>
  <si>
    <t>11 IMPASSE PAMPANIE</t>
  </si>
  <si>
    <t>7 PLACE DE SAINT SORLIN</t>
  </si>
  <si>
    <t>ROUX</t>
  </si>
  <si>
    <t>ROSELYNE</t>
  </si>
  <si>
    <t>8 RUE D'ORFOND</t>
  </si>
  <si>
    <t xml:space="preserve">M. </t>
  </si>
  <si>
    <t>NOMA FILS</t>
  </si>
  <si>
    <t xml:space="preserve">BADMINTON SAINTAIS </t>
  </si>
  <si>
    <t xml:space="preserve">RUE DU CORMIER </t>
  </si>
  <si>
    <t>IZABELLE</t>
  </si>
  <si>
    <t>80 ROUTE DES PASSEREAUX</t>
  </si>
  <si>
    <t xml:space="preserve">PAUL </t>
  </si>
  <si>
    <t>JULIE</t>
  </si>
  <si>
    <t>18 RUE MONTAIGNE</t>
  </si>
  <si>
    <t>6 IMPASSE DE LA MOTTES A L'ŒUF</t>
  </si>
  <si>
    <t>SCI DE SAINTONGE</t>
  </si>
  <si>
    <t>1 CHEMIN DES AVENAUDS</t>
  </si>
  <si>
    <t>PELLIER</t>
  </si>
  <si>
    <t>FABIEN</t>
  </si>
  <si>
    <t xml:space="preserve">M. et Mme </t>
  </si>
  <si>
    <t xml:space="preserve">PLAINAUD </t>
  </si>
  <si>
    <t>43 RUE JACQUES DELAMAIN</t>
  </si>
  <si>
    <t>SAINT BRICE</t>
  </si>
  <si>
    <t>FIEVEZ</t>
  </si>
  <si>
    <t>4 QUAI DE PALISSY</t>
  </si>
  <si>
    <t>MORNAC SUR SEUDRE</t>
  </si>
  <si>
    <t>BEAUDOT</t>
  </si>
  <si>
    <t>BRASSEAU</t>
  </si>
  <si>
    <t>15 RUE DANTON</t>
  </si>
  <si>
    <t>MASSOULARD</t>
  </si>
  <si>
    <t>25 RUE DE BOURGOGNE</t>
  </si>
  <si>
    <t>BLEU ACIER</t>
  </si>
  <si>
    <t>ROUTE DE BURIE</t>
  </si>
  <si>
    <t>BEAUFILS</t>
  </si>
  <si>
    <t>48 RUE EMILE ZOLA</t>
  </si>
  <si>
    <t>JAGUENAUD</t>
  </si>
  <si>
    <t>LE GROS BONNET</t>
  </si>
  <si>
    <t>FLOQUET</t>
  </si>
  <si>
    <t>18 RUE JEAN XXIII</t>
  </si>
  <si>
    <t xml:space="preserve">M </t>
  </si>
  <si>
    <t>DAGAND</t>
  </si>
  <si>
    <t>91 ROUTE DE SAINTES</t>
  </si>
  <si>
    <t>sebastien</t>
  </si>
  <si>
    <t>yannick</t>
  </si>
  <si>
    <t>renoud</t>
  </si>
  <si>
    <t>texier</t>
  </si>
  <si>
    <t>vincent</t>
  </si>
  <si>
    <t>boyer</t>
  </si>
  <si>
    <t>bernard</t>
  </si>
  <si>
    <t>guillaume</t>
  </si>
  <si>
    <t>DE CORINTHE</t>
  </si>
  <si>
    <t>GAEC</t>
  </si>
  <si>
    <t>HEURE</t>
  </si>
  <si>
    <t>PRIX</t>
  </si>
  <si>
    <t>TOTAL</t>
  </si>
  <si>
    <t xml:space="preserve">   </t>
  </si>
  <si>
    <t>GORISSE</t>
  </si>
  <si>
    <t>17 CHEMIN DU BOIS DE LA CROIX</t>
  </si>
  <si>
    <t>ELECTRONICA</t>
  </si>
  <si>
    <t xml:space="preserve">TSK </t>
  </si>
  <si>
    <t>ELECTROCIDAD</t>
  </si>
  <si>
    <t>366 AVENUE DAUSMENIL</t>
  </si>
  <si>
    <t>bariteau</t>
  </si>
  <si>
    <t>perso</t>
  </si>
  <si>
    <t>atelier</t>
  </si>
  <si>
    <t xml:space="preserve">M. et Mme  </t>
  </si>
  <si>
    <t>MERLAND</t>
  </si>
  <si>
    <t>SAINT PIERRE D'OLERON</t>
  </si>
  <si>
    <t>lebouchard</t>
  </si>
  <si>
    <t>rateau</t>
  </si>
  <si>
    <t>terramorsi</t>
  </si>
  <si>
    <t>stephane</t>
  </si>
  <si>
    <t>berteau</t>
  </si>
  <si>
    <t>ibka</t>
  </si>
  <si>
    <t>moun</t>
  </si>
  <si>
    <t>hoel</t>
  </si>
  <si>
    <t>mounier</t>
  </si>
  <si>
    <t xml:space="preserve">SECTEUR </t>
  </si>
  <si>
    <t>PASTORAL DE SAINTES</t>
  </si>
  <si>
    <t>13 RUE SAINT PALLAIS</t>
  </si>
  <si>
    <t xml:space="preserve">TROUVE </t>
  </si>
  <si>
    <t>RUE DE LA GRAND FONT</t>
  </si>
  <si>
    <t>TOUITOU</t>
  </si>
  <si>
    <t>38 ROUTE DE BOIS LE ROIS</t>
  </si>
  <si>
    <t>MERIAUX</t>
  </si>
  <si>
    <t>JANINE</t>
  </si>
  <si>
    <t>9 RUE ASAY LE RIDEAU</t>
  </si>
  <si>
    <t>PERIGNY</t>
  </si>
  <si>
    <t>MARIE ANGE</t>
  </si>
  <si>
    <t>2 CHEMIN DE CORINTHE</t>
  </si>
  <si>
    <t>grenot</t>
  </si>
  <si>
    <t>jackson</t>
  </si>
  <si>
    <t>quentin</t>
  </si>
  <si>
    <t>jerome</t>
  </si>
  <si>
    <t>FACTURES 2015</t>
  </si>
  <si>
    <t>FACTURES</t>
  </si>
  <si>
    <t xml:space="preserve">DATE </t>
  </si>
  <si>
    <t>MONTANTS</t>
  </si>
  <si>
    <t>TELEPHONE</t>
  </si>
  <si>
    <t>MAIL</t>
  </si>
  <si>
    <t>PAYE</t>
  </si>
  <si>
    <t>NOM</t>
  </si>
  <si>
    <t>31/15</t>
  </si>
  <si>
    <t>PAYE LE</t>
  </si>
  <si>
    <t>ECHEANCE</t>
  </si>
  <si>
    <t>fevrier</t>
  </si>
  <si>
    <t>NON PAYE</t>
  </si>
  <si>
    <t>CHIFFRE D'AFFAIRE</t>
  </si>
  <si>
    <t>JOURS</t>
  </si>
  <si>
    <t xml:space="preserve">CLIENTS </t>
  </si>
  <si>
    <t>1/15</t>
  </si>
  <si>
    <t>2/15</t>
  </si>
  <si>
    <t>3/15</t>
  </si>
  <si>
    <t>4/15</t>
  </si>
  <si>
    <t>5/15</t>
  </si>
  <si>
    <t>6/15</t>
  </si>
  <si>
    <t>7/15</t>
  </si>
  <si>
    <t>9/15</t>
  </si>
  <si>
    <t>10/15</t>
  </si>
  <si>
    <t>11/15</t>
  </si>
  <si>
    <t>12/15</t>
  </si>
  <si>
    <t>13/15</t>
  </si>
  <si>
    <t>14/15</t>
  </si>
  <si>
    <t>15/15</t>
  </si>
  <si>
    <t>16/15</t>
  </si>
  <si>
    <t>17/15</t>
  </si>
  <si>
    <t>18/15</t>
  </si>
  <si>
    <t xml:space="preserve">MOUNIER </t>
  </si>
  <si>
    <t>19/15</t>
  </si>
  <si>
    <t>20/15</t>
  </si>
  <si>
    <t>21/15</t>
  </si>
  <si>
    <t>22/15</t>
  </si>
  <si>
    <t>23/15</t>
  </si>
  <si>
    <t>24/15</t>
  </si>
  <si>
    <t>25/15</t>
  </si>
  <si>
    <t>26/15</t>
  </si>
  <si>
    <t>27/15</t>
  </si>
  <si>
    <t>28/15</t>
  </si>
  <si>
    <t>29/15</t>
  </si>
  <si>
    <t>30/15</t>
  </si>
  <si>
    <t>PHIPPEN</t>
  </si>
  <si>
    <t>32/15</t>
  </si>
  <si>
    <t>33/15</t>
  </si>
  <si>
    <t>34/15</t>
  </si>
  <si>
    <t>BOSSAVIT</t>
  </si>
  <si>
    <t>35/15</t>
  </si>
  <si>
    <t>36/15</t>
  </si>
  <si>
    <t>37/15</t>
  </si>
  <si>
    <t>BOIZEAU</t>
  </si>
  <si>
    <t>15 RUE CANTON GUERIN</t>
  </si>
  <si>
    <t>ARCHIAC</t>
  </si>
  <si>
    <t>NATHALIE</t>
  </si>
  <si>
    <t>80 RUE DE L'ECHASSIER</t>
  </si>
  <si>
    <t>CORINNE</t>
  </si>
  <si>
    <t>2 RUE DE L'EGLISE</t>
  </si>
  <si>
    <t>BALLANS</t>
  </si>
  <si>
    <t>GUIMPS</t>
  </si>
  <si>
    <t>801 CHEMIN DE LA TOUR</t>
  </si>
  <si>
    <t>SOLLIES PONT</t>
  </si>
  <si>
    <t>38/15</t>
  </si>
  <si>
    <t>39/15</t>
  </si>
  <si>
    <t>40/15</t>
  </si>
  <si>
    <t>41/15</t>
  </si>
  <si>
    <t>42/15</t>
  </si>
  <si>
    <t>2 RUE DRUSUS</t>
  </si>
  <si>
    <t>STRASBOURG</t>
  </si>
  <si>
    <t>43/15</t>
  </si>
  <si>
    <t>44/15</t>
  </si>
  <si>
    <t>45/15</t>
  </si>
  <si>
    <t>46/15</t>
  </si>
  <si>
    <t>47/15</t>
  </si>
  <si>
    <t>48/15</t>
  </si>
  <si>
    <t>49/15</t>
  </si>
  <si>
    <t>50/15</t>
  </si>
  <si>
    <t>51/15</t>
  </si>
  <si>
    <t>52/15</t>
  </si>
  <si>
    <t>53/15</t>
  </si>
  <si>
    <t>54/15</t>
  </si>
  <si>
    <t>ERICK</t>
  </si>
  <si>
    <t xml:space="preserve">9 RUE DU STADE </t>
  </si>
  <si>
    <t>RETAUD</t>
  </si>
  <si>
    <t>55/15</t>
  </si>
  <si>
    <t>56/15</t>
  </si>
  <si>
    <t>57/15</t>
  </si>
  <si>
    <t>58/15</t>
  </si>
  <si>
    <t>59/15</t>
  </si>
  <si>
    <t>60/15</t>
  </si>
  <si>
    <t>61/15</t>
  </si>
  <si>
    <t>62/15</t>
  </si>
  <si>
    <t>63/15</t>
  </si>
  <si>
    <t>64/15</t>
  </si>
  <si>
    <t>LOCUSSOL</t>
  </si>
  <si>
    <t>65/15</t>
  </si>
  <si>
    <t>66/15</t>
  </si>
  <si>
    <t>67/15</t>
  </si>
  <si>
    <t>68/15</t>
  </si>
  <si>
    <t>69/15</t>
  </si>
  <si>
    <t>FACTURES 2016</t>
  </si>
  <si>
    <t>1/16</t>
  </si>
  <si>
    <t>2/16</t>
  </si>
  <si>
    <t>3/16</t>
  </si>
  <si>
    <t>4/16</t>
  </si>
  <si>
    <t>5/16</t>
  </si>
  <si>
    <t>6/16</t>
  </si>
  <si>
    <t>7/16</t>
  </si>
  <si>
    <t>8/16</t>
  </si>
  <si>
    <t>9/16</t>
  </si>
  <si>
    <t>10/16</t>
  </si>
  <si>
    <t>11/16</t>
  </si>
  <si>
    <t>12/16</t>
  </si>
  <si>
    <t>13/16</t>
  </si>
  <si>
    <t>14/16</t>
  </si>
  <si>
    <t>15/16</t>
  </si>
  <si>
    <t>16/16</t>
  </si>
  <si>
    <t>17/16</t>
  </si>
  <si>
    <t>18/16</t>
  </si>
  <si>
    <t>19/16</t>
  </si>
  <si>
    <t>20/16</t>
  </si>
  <si>
    <t>21/16</t>
  </si>
  <si>
    <t>22/16</t>
  </si>
  <si>
    <t>23/16</t>
  </si>
  <si>
    <t>24/16</t>
  </si>
  <si>
    <t>25/16</t>
  </si>
  <si>
    <t>26/16</t>
  </si>
  <si>
    <t>27/16</t>
  </si>
  <si>
    <t>28/16</t>
  </si>
  <si>
    <t>29/16</t>
  </si>
  <si>
    <t>30/16</t>
  </si>
  <si>
    <t>31/16</t>
  </si>
  <si>
    <t>32/16</t>
  </si>
  <si>
    <t>33/16</t>
  </si>
  <si>
    <t>34/16</t>
  </si>
  <si>
    <t>35/16</t>
  </si>
  <si>
    <t>36/16</t>
  </si>
  <si>
    <t>37/16</t>
  </si>
  <si>
    <t>38/16</t>
  </si>
  <si>
    <t>39/16</t>
  </si>
  <si>
    <t>40/16</t>
  </si>
  <si>
    <t>41/16</t>
  </si>
  <si>
    <t>42/16</t>
  </si>
  <si>
    <t>43/16</t>
  </si>
  <si>
    <t>44/16</t>
  </si>
  <si>
    <t>45/16</t>
  </si>
  <si>
    <t>46/16</t>
  </si>
  <si>
    <t>47/16</t>
  </si>
  <si>
    <t>48/16</t>
  </si>
  <si>
    <t>49/16</t>
  </si>
  <si>
    <t>50/16</t>
  </si>
  <si>
    <t>51/16</t>
  </si>
  <si>
    <t>52/16</t>
  </si>
  <si>
    <t>53/16</t>
  </si>
  <si>
    <t>54/16</t>
  </si>
  <si>
    <t>55/16</t>
  </si>
  <si>
    <t>56/16</t>
  </si>
  <si>
    <t>57/16</t>
  </si>
  <si>
    <t>58/16</t>
  </si>
  <si>
    <t>59/16</t>
  </si>
  <si>
    <t>60/16</t>
  </si>
  <si>
    <t>61/16</t>
  </si>
  <si>
    <t>62/16</t>
  </si>
  <si>
    <t>63/16</t>
  </si>
  <si>
    <t>64/16</t>
  </si>
  <si>
    <t>65/16</t>
  </si>
  <si>
    <t>66/16</t>
  </si>
  <si>
    <t>67/16</t>
  </si>
  <si>
    <t>68/16</t>
  </si>
  <si>
    <t>69/16</t>
  </si>
  <si>
    <t>70/16</t>
  </si>
  <si>
    <t>71/16</t>
  </si>
  <si>
    <t>72/16</t>
  </si>
  <si>
    <t>73/16</t>
  </si>
  <si>
    <t>74/16</t>
  </si>
  <si>
    <t>75/16</t>
  </si>
  <si>
    <t>76/16</t>
  </si>
  <si>
    <t>77/16</t>
  </si>
  <si>
    <t>78/16</t>
  </si>
  <si>
    <t>79/16</t>
  </si>
  <si>
    <t>80/16</t>
  </si>
  <si>
    <t>FOURNITURE ET POSE</t>
  </si>
  <si>
    <t>VOLKSWAGEN</t>
  </si>
  <si>
    <t>C.A.R</t>
  </si>
  <si>
    <t>1 RUE DE VOIVILLE</t>
  </si>
  <si>
    <t>57 RUE ST PALLAIS</t>
  </si>
  <si>
    <t>PERILLAT</t>
  </si>
  <si>
    <t>OURTAAU</t>
  </si>
  <si>
    <t>50 Bis ROUTE DE BEAUCHAIL</t>
  </si>
  <si>
    <t>LUDOVIC</t>
  </si>
  <si>
    <t>171 ROUTE DE SAINTES</t>
  </si>
  <si>
    <t>JUNQUA</t>
  </si>
  <si>
    <t>2 C RUE DES YTROPES</t>
  </si>
  <si>
    <t>3 CHEMIN DES VENELLES</t>
  </si>
  <si>
    <t>cazelle</t>
  </si>
  <si>
    <t>perillat</t>
  </si>
  <si>
    <t>novolet</t>
  </si>
  <si>
    <t>brico marche</t>
  </si>
  <si>
    <t>2 RUE JEAN BART</t>
  </si>
  <si>
    <t>L'HOUMEAU</t>
  </si>
  <si>
    <t>QUENTIN</t>
  </si>
  <si>
    <t>05 46 97 76 34</t>
  </si>
  <si>
    <t>15 RUE PALLU DE LA BARRIERE</t>
  </si>
  <si>
    <t>phippen</t>
  </si>
  <si>
    <t>SALIERNO</t>
  </si>
  <si>
    <t xml:space="preserve">53 CHEMIN DES ALOUETTES </t>
  </si>
  <si>
    <t>TARDY</t>
  </si>
  <si>
    <t>YOHAN</t>
  </si>
  <si>
    <t xml:space="preserve">BEAUGHON </t>
  </si>
  <si>
    <t>THIERRY</t>
  </si>
  <si>
    <t>56 RUE DE LA VIDEAU</t>
  </si>
  <si>
    <t>AUMAGNE</t>
  </si>
  <si>
    <t>TASTAYRE</t>
  </si>
  <si>
    <t>1 CHEMIN DU BOURBONAIS</t>
  </si>
  <si>
    <t>fievez</t>
  </si>
  <si>
    <t>BENOIST</t>
  </si>
  <si>
    <t>clips</t>
  </si>
  <si>
    <t>bdr</t>
  </si>
  <si>
    <t>perez</t>
  </si>
  <si>
    <t xml:space="preserve">SCI </t>
  </si>
  <si>
    <t>MARTINE PLAISANCE</t>
  </si>
  <si>
    <t>3 LA BUZATIERE</t>
  </si>
  <si>
    <t>CHERONNAC</t>
  </si>
  <si>
    <t>devaud</t>
  </si>
  <si>
    <t xml:space="preserve">1 IMPASSE DES MERISIERS </t>
  </si>
  <si>
    <t>guichard</t>
  </si>
  <si>
    <t>JANNY</t>
  </si>
  <si>
    <t>BOIMORAUD</t>
  </si>
  <si>
    <t>83 AVENUE DE LA REPUBLIQUE</t>
  </si>
  <si>
    <t>GAUTHIER</t>
  </si>
  <si>
    <t>107 ROUTE DE BURIE</t>
  </si>
  <si>
    <t xml:space="preserve">LA CHAPELLE DES POTS </t>
  </si>
  <si>
    <t>DIENON</t>
  </si>
  <si>
    <t>GREGORY</t>
  </si>
  <si>
    <t>128 ROUTE DES JONQUILLES</t>
  </si>
  <si>
    <t>SCHENCK</t>
  </si>
  <si>
    <t>FRANCOIS</t>
  </si>
  <si>
    <t>4 RUE BOIS DE TERREFORT</t>
  </si>
  <si>
    <t>report</t>
  </si>
  <si>
    <t>touitou</t>
  </si>
  <si>
    <t>volkswagen</t>
  </si>
  <si>
    <t>nicolas</t>
  </si>
  <si>
    <t>BELET</t>
  </si>
  <si>
    <t>27 RUE DES NATTIERS</t>
  </si>
  <si>
    <t>LAVIGNE</t>
  </si>
  <si>
    <t>GAELLE</t>
  </si>
  <si>
    <t>MONDY</t>
  </si>
  <si>
    <t>LA COINCHE</t>
  </si>
  <si>
    <t>TAILLASSON</t>
  </si>
  <si>
    <t>RUE DES GUILLEAUX</t>
  </si>
  <si>
    <t>LE DOUHET</t>
  </si>
  <si>
    <t>feligonde</t>
  </si>
  <si>
    <t>verger</t>
  </si>
  <si>
    <t>lasternas</t>
  </si>
  <si>
    <t>alicia</t>
  </si>
  <si>
    <t>FACTURES 2017</t>
  </si>
  <si>
    <t>29/02/2017</t>
  </si>
  <si>
    <t>1/17</t>
  </si>
  <si>
    <t>2/17</t>
  </si>
  <si>
    <t>3/17</t>
  </si>
  <si>
    <t>4/17</t>
  </si>
  <si>
    <t>5/17</t>
  </si>
  <si>
    <t>6/17</t>
  </si>
  <si>
    <t>7/17</t>
  </si>
  <si>
    <t>8/17</t>
  </si>
  <si>
    <t>9/17</t>
  </si>
  <si>
    <t>10/17</t>
  </si>
  <si>
    <t>11/17</t>
  </si>
  <si>
    <t>12/17</t>
  </si>
  <si>
    <t>13/17</t>
  </si>
  <si>
    <t>14/17</t>
  </si>
  <si>
    <t>15/17</t>
  </si>
  <si>
    <t>16/17</t>
  </si>
  <si>
    <t>17/17</t>
  </si>
  <si>
    <t>18/17</t>
  </si>
  <si>
    <t>19/17</t>
  </si>
  <si>
    <t>20/17</t>
  </si>
  <si>
    <t>21/17</t>
  </si>
  <si>
    <t>22/17</t>
  </si>
  <si>
    <t>23/17</t>
  </si>
  <si>
    <t>24/17</t>
  </si>
  <si>
    <t>25/17</t>
  </si>
  <si>
    <t>26/17</t>
  </si>
  <si>
    <t>27/17</t>
  </si>
  <si>
    <t>28/17</t>
  </si>
  <si>
    <t>29/17</t>
  </si>
  <si>
    <t>30/17</t>
  </si>
  <si>
    <t>31/17</t>
  </si>
  <si>
    <t>32/17</t>
  </si>
  <si>
    <t>33/17</t>
  </si>
  <si>
    <t>34/17</t>
  </si>
  <si>
    <t>35/17</t>
  </si>
  <si>
    <t>36/17</t>
  </si>
  <si>
    <t>37/17</t>
  </si>
  <si>
    <t>38/17</t>
  </si>
  <si>
    <t>39/17</t>
  </si>
  <si>
    <t>40/17</t>
  </si>
  <si>
    <t>41/17</t>
  </si>
  <si>
    <t>42/17</t>
  </si>
  <si>
    <t>43/17</t>
  </si>
  <si>
    <t>44/17</t>
  </si>
  <si>
    <t>45/17</t>
  </si>
  <si>
    <t>46/17</t>
  </si>
  <si>
    <t>47/17</t>
  </si>
  <si>
    <t>48/17</t>
  </si>
  <si>
    <t>49/17</t>
  </si>
  <si>
    <t>50/17</t>
  </si>
  <si>
    <t>51/17</t>
  </si>
  <si>
    <t>52/17</t>
  </si>
  <si>
    <t>53/17</t>
  </si>
  <si>
    <t>54/17</t>
  </si>
  <si>
    <t>55/17</t>
  </si>
  <si>
    <t>56/17</t>
  </si>
  <si>
    <t>57/17</t>
  </si>
  <si>
    <t>58/17</t>
  </si>
  <si>
    <t>59/17</t>
  </si>
  <si>
    <t>60/17</t>
  </si>
  <si>
    <t>61/17</t>
  </si>
  <si>
    <t>62/17</t>
  </si>
  <si>
    <t>63/17</t>
  </si>
  <si>
    <t>64/17</t>
  </si>
  <si>
    <t>65/17</t>
  </si>
  <si>
    <t>66/17</t>
  </si>
  <si>
    <t>67/17</t>
  </si>
  <si>
    <t>68/17</t>
  </si>
  <si>
    <t>69/17</t>
  </si>
  <si>
    <t>70/17</t>
  </si>
  <si>
    <t>71/17</t>
  </si>
  <si>
    <t>72/17</t>
  </si>
  <si>
    <t>73/17</t>
  </si>
  <si>
    <t>74/17</t>
  </si>
  <si>
    <t>75/17</t>
  </si>
  <si>
    <t>76/17</t>
  </si>
  <si>
    <t>77/17</t>
  </si>
  <si>
    <t>78/17</t>
  </si>
  <si>
    <t>79/17</t>
  </si>
  <si>
    <t>80/17</t>
  </si>
  <si>
    <t>mois</t>
  </si>
  <si>
    <t>clients</t>
  </si>
  <si>
    <t>point p</t>
  </si>
  <si>
    <t>raoult</t>
  </si>
  <si>
    <t>fenetrea</t>
  </si>
  <si>
    <t>dispano</t>
  </si>
  <si>
    <t>lc bois</t>
  </si>
  <si>
    <t>wurth</t>
  </si>
  <si>
    <t>jointeur</t>
  </si>
  <si>
    <t>cged</t>
  </si>
  <si>
    <t>bricolage</t>
  </si>
  <si>
    <t>escalier</t>
  </si>
  <si>
    <t>fenetrea.</t>
  </si>
  <si>
    <t>raoult.</t>
  </si>
  <si>
    <t>point p.</t>
  </si>
  <si>
    <t>bdr.</t>
  </si>
  <si>
    <t>dispano.</t>
  </si>
  <si>
    <t>lc bois.</t>
  </si>
  <si>
    <t>wurth.</t>
  </si>
  <si>
    <t>jointeur.</t>
  </si>
  <si>
    <t>cged.</t>
  </si>
  <si>
    <t>bois.</t>
  </si>
  <si>
    <t>dechetterie.</t>
  </si>
  <si>
    <t>bricolage.</t>
  </si>
  <si>
    <t>escalier.</t>
  </si>
  <si>
    <t>fournisseurs</t>
  </si>
  <si>
    <t>prix d'achat</t>
  </si>
  <si>
    <t>coefficient</t>
  </si>
  <si>
    <t>prix de revente</t>
  </si>
  <si>
    <t>TOTAL TTC</t>
  </si>
  <si>
    <t>boismoraud</t>
  </si>
  <si>
    <t>nord blayais</t>
  </si>
  <si>
    <t>nord blayais.</t>
  </si>
  <si>
    <t>locatoumat</t>
  </si>
  <si>
    <t>couprie</t>
  </si>
  <si>
    <t>brico marché</t>
  </si>
  <si>
    <t>marie ange</t>
  </si>
  <si>
    <t>2 vis relieuse de porte</t>
  </si>
  <si>
    <t>2 charnieres invisible + les 2 plaques atelier</t>
  </si>
  <si>
    <t>chene en stock</t>
  </si>
  <si>
    <t>niangon en 34 en stock</t>
  </si>
  <si>
    <t>niangon en 65 en stock</t>
  </si>
  <si>
    <t>bois des cadres a facturer avec les menuiseries</t>
  </si>
  <si>
    <t>tomat</t>
  </si>
  <si>
    <t>bois du volet largeur 134,5 x H 142,5</t>
  </si>
  <si>
    <t>setin</t>
  </si>
  <si>
    <t>m3</t>
  </si>
  <si>
    <t>oui</t>
  </si>
  <si>
    <t>non</t>
  </si>
  <si>
    <t>DEVIS</t>
  </si>
  <si>
    <t>81/17</t>
  </si>
  <si>
    <t>82/17</t>
  </si>
  <si>
    <t>83/17</t>
  </si>
  <si>
    <t>84/17</t>
  </si>
  <si>
    <t>85/17</t>
  </si>
  <si>
    <t>86/17</t>
  </si>
  <si>
    <t>87/17</t>
  </si>
  <si>
    <t>88/17</t>
  </si>
  <si>
    <t>89/17</t>
  </si>
  <si>
    <t>90/17</t>
  </si>
  <si>
    <t>06 89 64 20 19</t>
  </si>
  <si>
    <t>05 46 74 73 18</t>
  </si>
  <si>
    <t>05 46 91 42 93</t>
  </si>
  <si>
    <t>05 46 74 70 98</t>
  </si>
  <si>
    <t>05 46 91 53 46</t>
  </si>
  <si>
    <t>05 46 93 66 60</t>
  </si>
  <si>
    <t>05 46 91 07 50</t>
  </si>
  <si>
    <t>05 46 92 04 09</t>
  </si>
  <si>
    <t>05 46 97 78 91</t>
  </si>
  <si>
    <t>05 46 93 22 18</t>
  </si>
  <si>
    <t>05 45 82 96 82</t>
  </si>
  <si>
    <t>main d'œuvre</t>
  </si>
  <si>
    <t xml:space="preserve">      1301-SD</t>
  </si>
  <si>
    <t>Adresse :</t>
  </si>
  <si>
    <t>Code postal:</t>
  </si>
  <si>
    <t xml:space="preserve">        Adresse² :</t>
  </si>
  <si>
    <t xml:space="preserve">   Commune :                   </t>
  </si>
  <si>
    <t>code postal :</t>
  </si>
  <si>
    <t xml:space="preserve">     propriétaire</t>
  </si>
  <si>
    <t>locataire</t>
  </si>
  <si>
    <t>l’ouvrage</t>
  </si>
  <si>
    <t>-</t>
  </si>
  <si>
    <t>,le</t>
  </si>
  <si>
    <t>.</t>
  </si>
  <si>
    <t xml:space="preserve">               Commune :                              </t>
  </si>
  <si>
    <t>kk</t>
  </si>
  <si>
    <t>ARNAUD</t>
  </si>
  <si>
    <t>MAIN D'ŒUVRE:</t>
  </si>
  <si>
    <t>collé</t>
  </si>
  <si>
    <t>DAMILLEVILLE</t>
  </si>
  <si>
    <t>6 RUE DE LA CHATAIGNERIE</t>
  </si>
  <si>
    <t xml:space="preserve">TOUVRON </t>
  </si>
  <si>
    <t>11 CHEMIN DES PALOMBES</t>
  </si>
  <si>
    <t>touvronthierry@wanadoo.fr</t>
  </si>
  <si>
    <r>
      <rPr>
        <sz val="9"/>
        <color theme="0"/>
        <rFont val="Times New Roman"/>
        <family val="3"/>
        <charset val="134"/>
      </rPr>
      <t>DIRECTION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GENERALE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</si>
  <si>
    <r>
      <rPr>
        <sz val="9"/>
        <color theme="0"/>
        <rFont val="Times New Roman"/>
        <family val="3"/>
        <charset val="134"/>
      </rPr>
      <t>FINANCES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PUBLIQUES</t>
    </r>
  </si>
  <si>
    <t>(01-2014)</t>
  </si>
  <si>
    <t>13948*03</t>
  </si>
  <si>
    <t>@</t>
  </si>
  <si>
    <t>Internet-DGFiP</t>
  </si>
  <si>
    <r>
      <rPr>
        <b/>
        <sz val="12"/>
        <color theme="0"/>
        <rFont val="Times New Roman"/>
        <family val="3"/>
        <charset val="134"/>
      </rPr>
      <t>ATTESTATION</t>
    </r>
    <r>
      <rPr>
        <sz val="12"/>
        <color theme="0"/>
        <rFont val="Calibri"/>
        <family val="2"/>
        <charset val="134"/>
        <scheme val="minor"/>
      </rPr>
      <t xml:space="preserve"> </t>
    </r>
    <r>
      <rPr>
        <b/>
        <sz val="12"/>
        <color theme="0"/>
        <rFont val="Times New Roman"/>
        <family val="3"/>
        <charset val="134"/>
      </rPr>
      <t>SIMPLIFIEE</t>
    </r>
  </si>
  <si>
    <r>
      <t>I</t>
    </r>
    <r>
      <rPr>
        <b/>
        <sz val="7"/>
        <color theme="0"/>
        <rFont val="Times New Roman"/>
        <family val="3"/>
        <charset val="134"/>
      </rPr>
      <t>DENTITÉ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DU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CLIENT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OU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DE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SON</t>
    </r>
    <r>
      <rPr>
        <b/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REPRESENTANT</t>
    </r>
  </si>
  <si>
    <r>
      <rPr>
        <sz val="9"/>
        <color theme="0"/>
        <rFont val="Times New Roman"/>
        <family val="3"/>
        <charset val="134"/>
      </rPr>
      <t>Je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soussigné(e)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</si>
  <si>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rPr>
        <i/>
        <sz val="9"/>
        <color theme="0"/>
        <rFont val="Times New Roman"/>
        <family val="3"/>
        <charset val="134"/>
      </rPr>
      <t xml:space="preserve">Nom </t>
    </r>
    <r>
      <rPr>
        <sz val="9"/>
        <color theme="0"/>
        <rFont val="Times New Roman"/>
        <family val="3"/>
        <charset val="134"/>
      </rPr>
      <t>:</t>
    </r>
  </si>
  <si>
    <r>
      <rPr>
        <i/>
        <sz val="9"/>
        <color theme="0"/>
        <rFont val="Times New Roman"/>
        <family val="3"/>
        <charset val="134"/>
      </rPr>
      <t xml:space="preserve">Prénom </t>
    </r>
    <r>
      <rPr>
        <sz val="9"/>
        <color theme="0"/>
        <rFont val="Times New Roman"/>
        <family val="3"/>
        <charset val="134"/>
      </rPr>
      <t>:</t>
    </r>
  </si>
  <si>
    <r>
      <t xml:space="preserve">    N</t>
    </r>
    <r>
      <rPr>
        <b/>
        <sz val="7"/>
        <color theme="0"/>
        <rFont val="Times New Roman"/>
        <family val="3"/>
        <charset val="134"/>
      </rPr>
      <t>ATURE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LOCAUX</t>
    </r>
  </si>
  <si>
    <r>
      <rPr>
        <sz val="9"/>
        <color theme="0"/>
        <rFont val="Times New Roman"/>
        <family val="3"/>
        <charset val="134"/>
      </rPr>
      <t xml:space="preserve">   J’atteste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réaliser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portent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immeuble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achevé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depuis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date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commencement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</si>
  <si>
    <r>
      <rPr>
        <sz val="9"/>
        <color theme="0"/>
        <rFont val="Times New Roman"/>
        <family val="3"/>
        <charset val="134"/>
      </rPr>
      <t xml:space="preserve">   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l’issue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</si>
  <si>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t xml:space="preserve">        </t>
    </r>
    <r>
      <rPr>
        <i/>
        <sz val="10"/>
        <color theme="0"/>
        <rFont val="Times New Roman"/>
        <family val="3"/>
        <charset val="134"/>
      </rPr>
      <t>maison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ou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immeuble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individuel</t>
    </r>
  </si>
  <si>
    <r>
      <rPr>
        <i/>
        <sz val="10"/>
        <color theme="0"/>
        <rFont val="Times New Roman"/>
        <family val="3"/>
        <charset val="134"/>
      </rPr>
      <t xml:space="preserve">       immeuble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collectif</t>
    </r>
  </si>
  <si>
    <r>
      <rPr>
        <i/>
        <sz val="9"/>
        <color theme="0"/>
        <rFont val="Times New Roman"/>
        <family val="3"/>
        <charset val="134"/>
      </rPr>
      <t>appartement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individuel</t>
    </r>
  </si>
  <si>
    <r>
      <rPr>
        <i/>
        <sz val="10"/>
        <color theme="0"/>
        <rFont val="Times New Roman"/>
        <family val="3"/>
        <charset val="134"/>
      </rPr>
      <t xml:space="preserve">   autre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(précisez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nature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local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à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usage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d’habitation)</t>
    </r>
  </si>
  <si>
    <r>
      <rPr>
        <i/>
        <sz val="9"/>
        <color theme="0"/>
        <rFont val="Times New Roman"/>
        <family val="3"/>
        <charset val="134"/>
      </rPr>
      <t xml:space="preserve">   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sont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réalisés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:</t>
    </r>
  </si>
  <si>
    <r>
      <t xml:space="preserve">       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local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exclusivement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principalement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l’habitation</t>
    </r>
  </si>
  <si>
    <r>
      <t xml:space="preserve">        </t>
    </r>
    <r>
      <rPr>
        <i/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pièces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exclusivement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situées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local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moins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50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cet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usage</t>
    </r>
  </si>
  <si>
    <r>
      <t xml:space="preserve">       </t>
    </r>
    <r>
      <rPr>
        <i/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parties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communes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exclusivement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principalement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une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proportion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(……………….)</t>
    </r>
  </si>
  <si>
    <r>
      <rPr>
        <i/>
        <sz val="10"/>
        <color theme="0"/>
        <rFont val="Times New Roman"/>
        <family val="3"/>
        <charset val="134"/>
      </rPr>
      <t xml:space="preserve">       millièmes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l’immeuble</t>
    </r>
  </si>
  <si>
    <r>
      <t xml:space="preserve">       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local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antérieurement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affecté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usage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autre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d’habitation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transformé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cet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i/>
        <sz val="9"/>
        <color theme="0"/>
        <rFont val="Times New Roman"/>
        <family val="3"/>
        <charset val="134"/>
      </rPr>
      <t>usage</t>
    </r>
  </si>
  <si>
    <r>
      <rPr>
        <i/>
        <sz val="10"/>
        <color theme="0"/>
        <rFont val="Times New Roman"/>
        <family val="3"/>
        <charset val="134"/>
      </rPr>
      <t>dont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je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suis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:</t>
    </r>
  </si>
  <si>
    <r>
      <rPr>
        <i/>
        <sz val="10"/>
        <color theme="0"/>
        <rFont val="Times New Roman"/>
        <family val="3"/>
        <charset val="134"/>
      </rPr>
      <t>autre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(précisez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votre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i/>
        <sz val="10"/>
        <color theme="0"/>
        <rFont val="Times New Roman"/>
        <family val="3"/>
        <charset val="134"/>
      </rPr>
      <t>qualité)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:………………</t>
    </r>
  </si>
  <si>
    <r>
      <t>N</t>
    </r>
    <r>
      <rPr>
        <b/>
        <sz val="7"/>
        <color theme="0"/>
        <rFont val="Times New Roman"/>
        <family val="3"/>
        <charset val="134"/>
      </rPr>
      <t>ATURE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DES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b/>
        <sz val="7"/>
        <color theme="0"/>
        <rFont val="Times New Roman"/>
        <family val="3"/>
        <charset val="134"/>
      </rPr>
      <t>TRAVAUX</t>
    </r>
  </si>
  <si>
    <r>
      <rPr>
        <sz val="10"/>
        <color theme="0"/>
        <rFont val="Times New Roman"/>
        <family val="3"/>
        <charset val="134"/>
      </rPr>
      <t>J’atteste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sur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la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période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de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deux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ans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précédant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ou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suivant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la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réalisation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des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travaux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décrits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dans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la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présente</t>
    </r>
    <r>
      <rPr>
        <u/>
        <sz val="10"/>
        <color theme="0"/>
        <rFont val="Calibri"/>
        <family val="2"/>
        <charset val="134"/>
        <scheme val="minor"/>
      </rPr>
      <t xml:space="preserve"> </t>
    </r>
    <r>
      <rPr>
        <u/>
        <sz val="10"/>
        <color theme="0"/>
        <rFont val="Times New Roman"/>
        <family val="3"/>
        <charset val="134"/>
      </rPr>
      <t>attestation,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</si>
  <si>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</si>
  <si>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t xml:space="preserve">        </t>
    </r>
    <r>
      <rPr>
        <sz val="10"/>
        <color theme="0"/>
        <rFont val="Times New Roman"/>
        <family val="3"/>
        <charset val="134"/>
      </rPr>
      <t>n’affectent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fondations,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éléments,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hors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fondations,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déterminant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résistance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rigidité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l'ouvrage,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</si>
  <si>
    <r>
      <t xml:space="preserve">        </t>
    </r>
    <r>
      <rPr>
        <sz val="10"/>
        <color theme="0"/>
        <rFont val="Times New Roman"/>
        <family val="3"/>
        <charset val="134"/>
      </rPr>
      <t>consistance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façades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(hors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ravalement).</t>
    </r>
  </si>
  <si>
    <r>
      <t xml:space="preserve">        </t>
    </r>
    <r>
      <rPr>
        <sz val="9"/>
        <color theme="0"/>
        <rFont val="Times New Roman"/>
        <family val="3"/>
        <charset val="134"/>
      </rPr>
      <t>n’affectent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pas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cinq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six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éléments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second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œuvre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suivants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</si>
  <si>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rPr>
        <b/>
        <i/>
        <sz val="9"/>
        <color theme="0"/>
        <rFont val="Times New Roman"/>
        <family val="3"/>
        <charset val="134"/>
      </rPr>
      <t>Cochez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cases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correspondant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éléments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affectés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:</t>
    </r>
  </si>
  <si>
    <r>
      <t xml:space="preserve">             planc</t>
    </r>
    <r>
      <rPr>
        <b/>
        <sz val="10"/>
        <color theme="0"/>
        <rFont val="Times New Roman"/>
        <family val="3"/>
        <charset val="134"/>
      </rPr>
      <t>hers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qui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ne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déterminent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pas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la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résistance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ou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la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rigidité</t>
    </r>
    <r>
      <rPr>
        <b/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de</t>
    </r>
  </si>
  <si>
    <r>
      <rPr>
        <b/>
        <sz val="10"/>
        <color theme="0"/>
        <rFont val="Times New Roman"/>
        <family val="3"/>
        <charset val="134"/>
      </rPr>
      <t>huisseries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extérieures</t>
    </r>
  </si>
  <si>
    <r>
      <rPr>
        <b/>
        <sz val="10"/>
        <color theme="0"/>
        <rFont val="Times New Roman"/>
        <family val="3"/>
        <charset val="134"/>
      </rPr>
      <t>cloisons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intérieures</t>
    </r>
  </si>
  <si>
    <r>
      <rPr>
        <b/>
        <sz val="10"/>
        <color theme="0"/>
        <rFont val="Times New Roman"/>
        <family val="3"/>
        <charset val="134"/>
      </rPr>
      <t>installations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électriques</t>
    </r>
  </si>
  <si>
    <r>
      <t xml:space="preserve">   </t>
    </r>
    <r>
      <rPr>
        <b/>
        <sz val="10"/>
        <color theme="0"/>
        <rFont val="Times New Roman"/>
        <family val="3"/>
        <charset val="134"/>
      </rPr>
      <t>installations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sanitaires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b/>
        <sz val="10"/>
        <color theme="0"/>
        <rFont val="Times New Roman"/>
        <family val="3"/>
        <charset val="134"/>
      </rPr>
      <t>plomberie</t>
    </r>
  </si>
  <si>
    <r>
      <rPr>
        <b/>
        <sz val="9"/>
        <color theme="0"/>
        <rFont val="Times New Roman"/>
        <family val="3"/>
        <charset val="134"/>
      </rPr>
      <t>système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sz val="9"/>
        <color theme="0"/>
        <rFont val="Times New Roman"/>
        <family val="3"/>
        <charset val="134"/>
      </rPr>
      <t>chauffage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(pour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immeubles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situés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en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b/>
        <i/>
        <sz val="9"/>
        <color theme="0"/>
        <rFont val="Times New Roman"/>
        <family val="3"/>
        <charset val="134"/>
      </rPr>
      <t>métropole)</t>
    </r>
  </si>
  <si>
    <r>
      <t xml:space="preserve">  </t>
    </r>
    <r>
      <rPr>
        <sz val="10"/>
        <color theme="0"/>
        <rFont val="Times New Roman"/>
        <family val="3"/>
        <charset val="134"/>
      </rPr>
      <t>NB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: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tous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autres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sans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incidence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bénéfice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réduit.</t>
    </r>
  </si>
  <si>
    <r>
      <t xml:space="preserve">      </t>
    </r>
    <r>
      <rPr>
        <sz val="10"/>
        <color theme="0"/>
        <rFont val="Times New Roman"/>
        <family val="3"/>
        <charset val="134"/>
      </rPr>
      <t>n'entraînent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pas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une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augmentation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surface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plancher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construction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existante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supérieure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à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10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%.</t>
    </r>
  </si>
  <si>
    <r>
      <t xml:space="preserve">      </t>
    </r>
    <r>
      <rPr>
        <sz val="10"/>
        <color theme="0"/>
        <rFont val="Times New Roman"/>
        <family val="3"/>
        <charset val="134"/>
      </rPr>
      <t>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consistent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pas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une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surélévation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une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addition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construction.</t>
    </r>
  </si>
  <si>
    <r>
      <rPr>
        <sz val="10"/>
        <color theme="0"/>
        <rFont val="Times New Roman"/>
        <family val="3"/>
        <charset val="134"/>
      </rPr>
      <t xml:space="preserve">      J’atteste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nature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d’amélioration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qualité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énergétique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portant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sur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fourniture,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pose,</t>
    </r>
  </si>
  <si>
    <r>
      <rPr>
        <sz val="10"/>
        <color theme="0"/>
        <rFont val="Times New Roman"/>
        <family val="3"/>
        <charset val="134"/>
      </rPr>
      <t>l’installation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l’entretien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matériaux,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appareils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équipements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mentionnés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1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l’article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200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quater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code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général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</si>
  <si>
    <r>
      <rPr>
        <sz val="10"/>
        <color theme="0"/>
        <rFont val="Times New Roman"/>
        <family val="3"/>
        <charset val="134"/>
      </rPr>
      <t>impôts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(CGI)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respectant</t>
    </r>
  </si>
  <si>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caractéristiques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techniques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et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critères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performances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minimales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fixés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par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l’article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18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bis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</si>
  <si>
    <r>
      <rPr>
        <sz val="10"/>
        <color theme="0"/>
        <rFont val="Times New Roman"/>
        <family val="3"/>
        <charset val="134"/>
      </rPr>
      <t>l’annexe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IV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CGI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dans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rédaction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issue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l’arrêté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29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décembre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2013.</t>
    </r>
  </si>
  <si>
    <r>
      <t xml:space="preserve">    </t>
    </r>
    <r>
      <rPr>
        <sz val="10"/>
        <color theme="0"/>
        <rFont val="Times New Roman"/>
        <family val="3"/>
        <charset val="134"/>
      </rPr>
      <t>J’atteste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ont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nature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induits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indissociablement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liés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à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travaux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d’amélioration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la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qualité</t>
    </r>
  </si>
  <si>
    <r>
      <t xml:space="preserve">      </t>
    </r>
    <r>
      <rPr>
        <sz val="10"/>
        <color theme="0"/>
        <rFont val="Times New Roman"/>
        <family val="3"/>
        <charset val="134"/>
      </rPr>
      <t>énergétique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soumis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au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taux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TVA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de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5,5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%.</t>
    </r>
  </si>
  <si>
    <r>
      <t>C</t>
    </r>
    <r>
      <rPr>
        <b/>
        <sz val="8"/>
        <color theme="0"/>
        <rFont val="Times New Roman"/>
        <family val="3"/>
        <charset val="134"/>
      </rPr>
      <t>ONSERVATION</t>
    </r>
    <r>
      <rPr>
        <b/>
        <sz val="8"/>
        <color theme="0"/>
        <rFont val="Calibri"/>
        <family val="2"/>
        <charset val="134"/>
        <scheme val="minor"/>
      </rPr>
      <t xml:space="preserve"> </t>
    </r>
    <r>
      <rPr>
        <b/>
        <sz val="8"/>
        <color theme="0"/>
        <rFont val="Times New Roman"/>
        <family val="3"/>
        <charset val="134"/>
      </rPr>
      <t>DE</t>
    </r>
    <r>
      <rPr>
        <b/>
        <sz val="8"/>
        <color theme="0"/>
        <rFont val="Calibri"/>
        <family val="2"/>
        <charset val="134"/>
        <scheme val="minor"/>
      </rPr>
      <t xml:space="preserve"> </t>
    </r>
    <r>
      <rPr>
        <b/>
        <sz val="8"/>
        <color theme="0"/>
        <rFont val="Times New Roman"/>
        <family val="3"/>
        <charset val="134"/>
      </rPr>
      <t>L'ATTESTATION ET DES PIECES JUSTIFICATIVES</t>
    </r>
  </si>
  <si>
    <r>
      <rPr>
        <sz val="9"/>
        <color theme="0"/>
        <rFont val="Times New Roman"/>
        <family val="3"/>
        <charset val="134"/>
      </rPr>
      <t>Je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conserve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une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copie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cette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attestation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ainsi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toutes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factures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notes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émises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par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entreprises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prestataires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jusqu’au</t>
    </r>
  </si>
  <si>
    <r>
      <rPr>
        <sz val="9"/>
        <color theme="0"/>
        <rFont val="Times New Roman"/>
        <family val="3"/>
        <charset val="134"/>
      </rPr>
      <t>31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décembre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cinquième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année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suivant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réalisation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m’engage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produire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une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copie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l’administration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fiscale</t>
    </r>
  </si>
  <si>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demande.</t>
    </r>
  </si>
  <si>
    <r>
      <rPr>
        <sz val="9"/>
        <color theme="0"/>
        <rFont val="Times New Roman"/>
        <family val="3"/>
        <charset val="134"/>
      </rPr>
      <t>Si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mentions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portées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l’attestation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s’avèrent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inexactes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votre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fait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ont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conséquence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l’application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erronée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taux</t>
    </r>
  </si>
  <si>
    <r>
      <rPr>
        <sz val="9"/>
        <color theme="0"/>
        <rFont val="Times New Roman"/>
        <family val="3"/>
        <charset val="134"/>
      </rPr>
      <t>réduit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TVA,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vous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êtes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solidairement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tenu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paiement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complément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taxe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résultant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différence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entre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montant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</si>
  <si>
    <r>
      <rPr>
        <sz val="9"/>
        <color theme="0"/>
        <rFont val="Times New Roman"/>
        <family val="3"/>
        <charset val="134"/>
      </rPr>
      <t>taxe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(TVA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20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ou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10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%)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montant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TVA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effectivement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payé,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TVA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au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:</t>
    </r>
  </si>
  <si>
    <r>
      <rPr>
        <sz val="9"/>
        <color theme="0"/>
        <rFont val="Times New Roman"/>
        <family val="3"/>
        <charset val="134"/>
      </rPr>
      <t>10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d’amélioration,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transformation,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d’aménagement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et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d’entretien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portant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locaux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usage</t>
    </r>
  </si>
  <si>
    <r>
      <rPr>
        <sz val="9"/>
        <color theme="0"/>
        <rFont val="Times New Roman"/>
        <family val="3"/>
        <charset val="134"/>
      </rPr>
      <t>d’habitation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achevés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depuis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2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;</t>
    </r>
  </si>
  <si>
    <r>
      <rPr>
        <sz val="9"/>
        <color theme="0"/>
        <rFont val="Times New Roman"/>
        <family val="3"/>
        <charset val="134"/>
      </rPr>
      <t>5,5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%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pour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d’amélioration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la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qualité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énergétique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locaux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à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usage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d’habitation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achevés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depuis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plus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de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2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ans</t>
    </r>
  </si>
  <si>
    <r>
      <rPr>
        <sz val="9"/>
        <color theme="0"/>
        <rFont val="Times New Roman"/>
        <family val="3"/>
        <charset val="134"/>
      </rPr>
      <t>ainsi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que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travaux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induits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qui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leur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sont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indissociablement</t>
    </r>
    <r>
      <rPr>
        <sz val="9"/>
        <color theme="0"/>
        <rFont val="Calibri"/>
        <family val="2"/>
        <charset val="134"/>
        <scheme val="minor"/>
      </rPr>
      <t xml:space="preserve"> </t>
    </r>
    <r>
      <rPr>
        <sz val="9"/>
        <color theme="0"/>
        <rFont val="Times New Roman"/>
        <family val="3"/>
        <charset val="134"/>
      </rPr>
      <t>liés.</t>
    </r>
  </si>
  <si>
    <r>
      <rPr>
        <sz val="10"/>
        <color theme="0"/>
        <rFont val="Times New Roman"/>
        <family val="3"/>
        <charset val="134"/>
      </rPr>
      <t>Fait</t>
    </r>
    <r>
      <rPr>
        <sz val="10"/>
        <color theme="0"/>
        <rFont val="Calibri"/>
        <family val="2"/>
        <charset val="134"/>
        <scheme val="minor"/>
      </rPr>
      <t xml:space="preserve"> </t>
    </r>
    <r>
      <rPr>
        <sz val="10"/>
        <color theme="0"/>
        <rFont val="Times New Roman"/>
        <family val="3"/>
        <charset val="134"/>
      </rPr>
      <t>à</t>
    </r>
  </si>
  <si>
    <r>
      <rPr>
        <sz val="8"/>
        <color theme="0"/>
        <rFont val="Times New Roman"/>
        <family val="3"/>
        <charset val="134"/>
      </rPr>
      <t>Signature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du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client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ou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de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son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représentant</t>
    </r>
    <r>
      <rPr>
        <sz val="8"/>
        <color theme="0"/>
        <rFont val="Calibri"/>
        <family val="2"/>
        <charset val="134"/>
        <scheme val="minor"/>
      </rPr>
      <t xml:space="preserve"> </t>
    </r>
    <r>
      <rPr>
        <sz val="8"/>
        <color theme="0"/>
        <rFont val="Times New Roman"/>
        <family val="3"/>
        <charset val="134"/>
      </rPr>
      <t>:</t>
    </r>
  </si>
  <si>
    <r>
      <rPr>
        <sz val="7"/>
        <color theme="0"/>
        <rFont val="Times New Roman"/>
        <family val="3"/>
        <charset val="134"/>
      </rPr>
      <t>Pour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remplir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cette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attestation,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cochez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cases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correspondant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à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votre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situation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et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complétez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rubriques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en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pointillés.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Vous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pouvez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vous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aider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la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notice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explicative.</t>
    </r>
  </si>
  <si>
    <r>
      <rPr>
        <sz val="7"/>
        <color theme="0"/>
        <rFont val="Times New Roman"/>
        <family val="3"/>
        <charset val="134"/>
      </rPr>
      <t>Si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différente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l’adresse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indiquée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dans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le</t>
    </r>
    <r>
      <rPr>
        <sz val="7"/>
        <color theme="0"/>
        <rFont val="Calibri"/>
        <family val="2"/>
        <charset val="134"/>
        <scheme val="minor"/>
      </rPr>
      <t xml:space="preserve"> </t>
    </r>
    <r>
      <rPr>
        <sz val="7"/>
        <color theme="0"/>
        <rFont val="Times New Roman"/>
        <family val="3"/>
        <charset val="134"/>
      </rPr>
      <t>cadre</t>
    </r>
  </si>
  <si>
    <t xml:space="preserve">retirer la protection, revision puis ôter </t>
  </si>
  <si>
    <t>retirer la protection, revision puis ôter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</si>
</sst>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.0000"/>
    <numFmt numFmtId="165" formatCode="00000"/>
    <numFmt numFmtId="166" formatCode="0#&quot; &quot;##&quot; &quot;##&quot; &quot;##&quot; &quot;##"/>
    <numFmt numFmtId="167" formatCode="#,##0.00\ &quot;€&quot;"/>
    <numFmt numFmtId="168" formatCode="d/m/yy;@"/>
    <numFmt numFmtId="169" formatCode="[$-40C]mmm\-yy;@"/>
    <numFmt numFmtId="170" formatCode="#,##0.00&quot;€  HT&quot;"/>
    <numFmt numFmtId="171" formatCode="0_ "/>
  </numFmts>
  <fonts count="102">
    <font>
      <sz val="10"/>
      <name val="Arial"/>
    </font>
    <font>
      <sz val="10"/>
      <name val="Arial"/>
      <family val="2"/>
    </font>
    <font>
      <b/>
      <u/>
      <sz val="11"/>
      <color indexed="12"/>
      <name val="Times New Roman"/>
      <family val="1"/>
    </font>
    <font>
      <sz val="12"/>
      <color indexed="60"/>
      <name val="Times New Roman"/>
      <family val="1"/>
    </font>
    <font>
      <sz val="8"/>
      <color indexed="12"/>
      <name val="Arial"/>
      <family val="2"/>
    </font>
    <font>
      <sz val="14"/>
      <name val="Arial"/>
      <family val="2"/>
    </font>
    <font>
      <b/>
      <sz val="11"/>
      <color indexed="6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3"/>
      <name val="Arial"/>
      <family val="2"/>
    </font>
    <font>
      <b/>
      <sz val="14"/>
      <color indexed="60"/>
      <name val="Times New Roman"/>
      <family val="1"/>
    </font>
    <font>
      <b/>
      <sz val="10"/>
      <name val="Arial"/>
      <family val="2"/>
    </font>
    <font>
      <b/>
      <sz val="14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7"/>
      <name val="Arial"/>
      <family val="2"/>
    </font>
    <font>
      <b/>
      <sz val="16"/>
      <name val="Arial"/>
      <family val="2"/>
    </font>
    <font>
      <b/>
      <sz val="16"/>
      <color indexed="60"/>
      <name val="Arial"/>
      <family val="2"/>
    </font>
    <font>
      <sz val="10"/>
      <color indexed="60"/>
      <name val="Arial"/>
      <family val="2"/>
    </font>
    <font>
      <b/>
      <sz val="14"/>
      <color indexed="60"/>
      <name val="Arial"/>
      <family val="2"/>
    </font>
    <font>
      <b/>
      <sz val="10"/>
      <color indexed="60"/>
      <name val="Arial"/>
      <family val="2"/>
    </font>
    <font>
      <sz val="12"/>
      <color indexed="60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b/>
      <sz val="18"/>
      <name val="Arial"/>
      <family val="2"/>
    </font>
    <font>
      <sz val="4"/>
      <name val="Arial"/>
      <family val="2"/>
    </font>
    <font>
      <b/>
      <i/>
      <sz val="10"/>
      <color indexed="12"/>
      <name val="Arial"/>
      <family val="2"/>
    </font>
    <font>
      <b/>
      <sz val="20"/>
      <color indexed="10"/>
      <name val="Arial"/>
      <family val="2"/>
    </font>
    <font>
      <b/>
      <sz val="16"/>
      <color indexed="10"/>
      <name val="Arial"/>
      <family val="2"/>
    </font>
    <font>
      <sz val="8"/>
      <color indexed="81"/>
      <name val="Tahoma"/>
      <family val="2"/>
    </font>
    <font>
      <b/>
      <u/>
      <sz val="17"/>
      <name val="Arial"/>
      <family val="2"/>
    </font>
    <font>
      <b/>
      <u/>
      <sz val="22"/>
      <color indexed="12"/>
      <name val="Times New Roman"/>
      <family val="1"/>
    </font>
    <font>
      <b/>
      <sz val="22"/>
      <color indexed="12"/>
      <name val="Times New Roman"/>
      <family val="1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u/>
      <sz val="10"/>
      <name val="Arial"/>
      <family val="2"/>
    </font>
    <font>
      <b/>
      <sz val="17"/>
      <name val="Arial"/>
      <family val="2"/>
    </font>
    <font>
      <sz val="10"/>
      <name val="Arial"/>
      <family val="2"/>
    </font>
    <font>
      <sz val="28"/>
      <name val="Arial"/>
      <family val="2"/>
    </font>
    <font>
      <sz val="22"/>
      <color rgb="FFFF0000"/>
      <name val="Arial"/>
      <family val="2"/>
    </font>
    <font>
      <sz val="16"/>
      <color rgb="FFFF0000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20"/>
      <color rgb="FFFF0000"/>
      <name val="Arial"/>
      <family val="2"/>
    </font>
    <font>
      <sz val="12"/>
      <color rgb="FFFF0000"/>
      <name val="Arial"/>
      <family val="2"/>
    </font>
    <font>
      <sz val="20"/>
      <color rgb="FFFF0000"/>
      <name val="Arial"/>
      <family val="2"/>
    </font>
    <font>
      <sz val="36"/>
      <color rgb="FFFF0000"/>
      <name val="Arial"/>
      <family val="2"/>
    </font>
    <font>
      <b/>
      <sz val="28"/>
      <color theme="1"/>
      <name val="Calibri"/>
      <family val="2"/>
      <scheme val="minor"/>
    </font>
    <font>
      <sz val="22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4"/>
      <name val="Arial"/>
      <family val="2"/>
    </font>
    <font>
      <sz val="10"/>
      <color theme="1"/>
      <name val="Calibri"/>
      <family val="2"/>
      <scheme val="minor"/>
    </font>
    <font>
      <b/>
      <sz val="16"/>
      <color rgb="FFFF0000"/>
      <name val="Arial"/>
      <family val="2"/>
    </font>
    <font>
      <sz val="26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i/>
      <sz val="12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sz val="16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Calibri"/>
      <family val="3"/>
      <charset val="134"/>
    </font>
    <font>
      <sz val="9"/>
      <color theme="0"/>
      <name val="Times New Roman"/>
      <family val="3"/>
      <charset val="134"/>
    </font>
    <font>
      <sz val="9"/>
      <color theme="0"/>
      <name val="Calibri"/>
      <family val="2"/>
      <charset val="134"/>
      <scheme val="minor"/>
    </font>
    <font>
      <sz val="10"/>
      <color theme="0"/>
      <name val="Times New Roman"/>
      <family val="3"/>
      <charset val="134"/>
    </font>
    <font>
      <b/>
      <sz val="12"/>
      <color theme="0"/>
      <name val="Times New Roman"/>
      <family val="3"/>
      <charset val="134"/>
    </font>
    <font>
      <sz val="12"/>
      <color theme="0"/>
      <name val="Calibri"/>
      <family val="2"/>
      <charset val="134"/>
      <scheme val="minor"/>
    </font>
    <font>
      <b/>
      <sz val="6"/>
      <color theme="0"/>
      <name val="Times New Roman"/>
      <family val="3"/>
      <charset val="134"/>
    </font>
    <font>
      <b/>
      <sz val="10"/>
      <color theme="0"/>
      <name val="Calibri"/>
      <family val="3"/>
      <charset val="134"/>
    </font>
    <font>
      <b/>
      <sz val="7"/>
      <color theme="0"/>
      <name val="Times New Roman"/>
      <family val="3"/>
      <charset val="134"/>
    </font>
    <font>
      <b/>
      <sz val="7"/>
      <color theme="0"/>
      <name val="Calibri"/>
      <family val="2"/>
      <charset val="134"/>
      <scheme val="minor"/>
    </font>
    <font>
      <i/>
      <sz val="9"/>
      <color theme="0"/>
      <name val="Times New Roman"/>
      <family val="3"/>
      <charset val="134"/>
    </font>
    <font>
      <b/>
      <sz val="10"/>
      <color theme="0"/>
      <name val="Calibri"/>
      <family val="2"/>
    </font>
    <font>
      <sz val="9"/>
      <color theme="0"/>
      <name val="Calibri"/>
      <family val="3"/>
      <charset val="134"/>
    </font>
    <font>
      <sz val="7"/>
      <color theme="0"/>
      <name val="Calibri"/>
      <family val="2"/>
      <charset val="134"/>
      <scheme val="minor"/>
    </font>
    <font>
      <i/>
      <sz val="10"/>
      <color theme="0"/>
      <name val="Times New Roman"/>
      <family val="3"/>
      <charset val="134"/>
    </font>
    <font>
      <sz val="10"/>
      <color theme="0"/>
      <name val="Calibri"/>
      <family val="2"/>
      <charset val="134"/>
      <scheme val="minor"/>
    </font>
    <font>
      <b/>
      <sz val="9"/>
      <color theme="0"/>
      <name val="Times New Roman"/>
      <family val="3"/>
      <charset val="134"/>
    </font>
    <font>
      <u/>
      <sz val="10"/>
      <color theme="0"/>
      <name val="Times New Roman"/>
      <family val="3"/>
      <charset val="134"/>
    </font>
    <font>
      <u/>
      <sz val="10"/>
      <color theme="0"/>
      <name val="Calibri"/>
      <family val="2"/>
      <charset val="134"/>
      <scheme val="minor"/>
    </font>
    <font>
      <b/>
      <i/>
      <sz val="9"/>
      <color theme="0"/>
      <name val="Times New Roman"/>
      <family val="3"/>
      <charset val="134"/>
    </font>
    <font>
      <b/>
      <sz val="10"/>
      <color theme="0"/>
      <name val="Times New Roman"/>
      <family val="3"/>
      <charset val="134"/>
    </font>
    <font>
      <b/>
      <sz val="10"/>
      <color theme="0"/>
      <name val="Calibri"/>
      <family val="2"/>
      <charset val="134"/>
      <scheme val="minor"/>
    </font>
    <font>
      <b/>
      <sz val="8"/>
      <color theme="0"/>
      <name val="Calibri"/>
      <family val="3"/>
      <charset val="134"/>
    </font>
    <font>
      <b/>
      <sz val="8"/>
      <color theme="0"/>
      <name val="Times New Roman"/>
      <family val="3"/>
      <charset val="134"/>
    </font>
    <font>
      <b/>
      <sz val="8"/>
      <color theme="0"/>
      <name val="Calibri"/>
      <family val="2"/>
      <charset val="134"/>
      <scheme val="minor"/>
    </font>
    <font>
      <sz val="8"/>
      <color theme="0"/>
      <name val="Calibri"/>
      <family val="3"/>
      <charset val="134"/>
    </font>
    <font>
      <sz val="8"/>
      <color theme="0"/>
      <name val="Times New Roman"/>
      <family val="3"/>
      <charset val="134"/>
    </font>
    <font>
      <sz val="8"/>
      <color theme="0"/>
      <name val="Calibri"/>
      <family val="2"/>
      <charset val="134"/>
      <scheme val="minor"/>
    </font>
    <font>
      <sz val="7"/>
      <color theme="0"/>
      <name val="Times New Roman"/>
      <family val="3"/>
      <charset val="134"/>
    </font>
    <font>
      <sz val="7"/>
      <color theme="0"/>
      <name val="Calibri"/>
      <family val="3"/>
      <charset val="134"/>
    </font>
    <font>
      <u/>
      <sz val="10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rgb="FFABABAB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6">
    <xf numFmtId="0" fontId="0" fillId="0" borderId="0"/>
    <xf numFmtId="44" fontId="1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36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4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/>
  </cellStyleXfs>
  <cellXfs count="616">
    <xf numFmtId="0" fontId="0" fillId="0" borderId="0" xfId="0"/>
    <xf numFmtId="0" fontId="8" fillId="0" borderId="1" xfId="0" applyFont="1" applyBorder="1" applyAlignment="1" applyProtection="1">
      <alignment horizontal="center"/>
    </xf>
    <xf numFmtId="0" fontId="17" fillId="0" borderId="8" xfId="0" applyNumberFormat="1" applyFont="1" applyBorder="1" applyAlignment="1" applyProtection="1">
      <alignment horizontal="center"/>
    </xf>
    <xf numFmtId="0" fontId="17" fillId="0" borderId="1" xfId="0" applyNumberFormat="1" applyFont="1" applyBorder="1" applyAlignment="1" applyProtection="1">
      <alignment horizontal="center"/>
    </xf>
    <xf numFmtId="0" fontId="17" fillId="0" borderId="9" xfId="0" applyNumberFormat="1" applyFont="1" applyBorder="1" applyAlignment="1" applyProtection="1"/>
    <xf numFmtId="0" fontId="25" fillId="0" borderId="3" xfId="0" applyFont="1" applyBorder="1" applyProtection="1"/>
    <xf numFmtId="7" fontId="17" fillId="0" borderId="12" xfId="1" applyNumberFormat="1" applyFont="1" applyBorder="1" applyAlignment="1" applyProtection="1">
      <alignment vertical="center"/>
    </xf>
    <xf numFmtId="7" fontId="17" fillId="0" borderId="6" xfId="1" applyNumberFormat="1" applyFont="1" applyBorder="1" applyAlignment="1" applyProtection="1">
      <alignment vertical="center"/>
    </xf>
    <xf numFmtId="0" fontId="0" fillId="0" borderId="0" xfId="0" applyBorder="1" applyProtection="1"/>
    <xf numFmtId="0" fontId="0" fillId="0" borderId="0" xfId="0" applyProtection="1"/>
    <xf numFmtId="0" fontId="37" fillId="0" borderId="3" xfId="0" applyFont="1" applyBorder="1" applyAlignment="1" applyProtection="1">
      <alignment horizontal="center" vertical="center"/>
    </xf>
    <xf numFmtId="0" fontId="0" fillId="0" borderId="0" xfId="0" applyFill="1" applyBorder="1" applyProtection="1"/>
    <xf numFmtId="0" fontId="8" fillId="0" borderId="0" xfId="0" applyFont="1" applyProtection="1"/>
    <xf numFmtId="0" fontId="0" fillId="0" borderId="0" xfId="0" applyBorder="1" applyAlignment="1" applyProtection="1">
      <alignment vertical="center"/>
    </xf>
    <xf numFmtId="0" fontId="45" fillId="14" borderId="3" xfId="0" applyFont="1" applyFill="1" applyBorder="1" applyAlignment="1" applyProtection="1">
      <alignment horizontal="center" vertical="center"/>
    </xf>
    <xf numFmtId="0" fontId="45" fillId="12" borderId="3" xfId="0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0" fontId="37" fillId="12" borderId="3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46" fillId="14" borderId="13" xfId="0" applyFont="1" applyFill="1" applyBorder="1" applyAlignment="1" applyProtection="1">
      <alignment horizontal="center" vertical="center"/>
      <protection locked="0"/>
    </xf>
    <xf numFmtId="0" fontId="45" fillId="14" borderId="3" xfId="0" applyFont="1" applyFill="1" applyBorder="1" applyAlignment="1" applyProtection="1">
      <alignment horizontal="center" vertical="center"/>
      <protection locked="0"/>
    </xf>
    <xf numFmtId="0" fontId="46" fillId="14" borderId="3" xfId="0" applyFont="1" applyFill="1" applyBorder="1" applyAlignment="1" applyProtection="1">
      <alignment horizontal="center" vertical="center"/>
      <protection locked="0"/>
    </xf>
    <xf numFmtId="0" fontId="45" fillId="14" borderId="10" xfId="0" applyFont="1" applyFill="1" applyBorder="1" applyAlignment="1" applyProtection="1">
      <alignment horizontal="center" vertical="center"/>
      <protection locked="0"/>
    </xf>
    <xf numFmtId="0" fontId="46" fillId="12" borderId="3" xfId="0" applyFont="1" applyFill="1" applyBorder="1" applyAlignment="1" applyProtection="1">
      <alignment horizontal="center" vertical="center"/>
      <protection locked="0"/>
    </xf>
    <xf numFmtId="0" fontId="45" fillId="12" borderId="3" xfId="0" applyFont="1" applyFill="1" applyBorder="1" applyAlignment="1" applyProtection="1">
      <alignment horizontal="center" vertical="center"/>
      <protection locked="0"/>
    </xf>
    <xf numFmtId="0" fontId="45" fillId="12" borderId="0" xfId="0" applyFont="1" applyFill="1" applyBorder="1" applyAlignment="1" applyProtection="1">
      <alignment horizontal="center" vertical="center"/>
      <protection locked="0"/>
    </xf>
    <xf numFmtId="0" fontId="46" fillId="0" borderId="0" xfId="0" applyFont="1" applyAlignment="1" applyProtection="1">
      <alignment horizontal="center" vertical="center"/>
    </xf>
    <xf numFmtId="0" fontId="45" fillId="0" borderId="0" xfId="0" applyFont="1" applyFill="1" applyAlignment="1" applyProtection="1">
      <alignment horizontal="center" vertical="center"/>
    </xf>
    <xf numFmtId="0" fontId="47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14" borderId="3" xfId="0" applyFill="1" applyBorder="1" applyAlignment="1" applyProtection="1">
      <alignment horizontal="center" vertical="center"/>
    </xf>
    <xf numFmtId="0" fontId="0" fillId="12" borderId="3" xfId="0" applyFill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vertical="center"/>
    </xf>
    <xf numFmtId="14" fontId="8" fillId="0" borderId="3" xfId="12" applyNumberFormat="1" applyFont="1" applyBorder="1" applyAlignment="1" applyProtection="1">
      <alignment horizontal="center" vertical="center"/>
    </xf>
    <xf numFmtId="0" fontId="8" fillId="0" borderId="3" xfId="12" applyNumberFormat="1" applyFont="1" applyBorder="1" applyAlignment="1" applyProtection="1">
      <alignment horizontal="center" vertical="center"/>
    </xf>
    <xf numFmtId="0" fontId="0" fillId="0" borderId="3" xfId="0" applyBorder="1" applyProtection="1">
      <protection locked="0"/>
    </xf>
    <xf numFmtId="49" fontId="8" fillId="0" borderId="3" xfId="0" applyNumberFormat="1" applyFont="1" applyBorder="1" applyAlignment="1" applyProtection="1">
      <alignment horizontal="center" vertical="center"/>
    </xf>
    <xf numFmtId="166" fontId="8" fillId="0" borderId="3" xfId="0" applyNumberFormat="1" applyFont="1" applyBorder="1" applyAlignment="1" applyProtection="1">
      <alignment horizontal="center" vertical="center"/>
    </xf>
    <xf numFmtId="168" fontId="8" fillId="0" borderId="3" xfId="0" applyNumberFormat="1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6" fontId="46" fillId="14" borderId="13" xfId="0" applyNumberFormat="1" applyFont="1" applyFill="1" applyBorder="1" applyAlignment="1" applyProtection="1">
      <alignment horizontal="center" vertical="center"/>
      <protection locked="0"/>
    </xf>
    <xf numFmtId="9" fontId="0" fillId="0" borderId="0" xfId="0" applyNumberFormat="1" applyBorder="1" applyProtection="1">
      <protection locked="0"/>
    </xf>
    <xf numFmtId="10" fontId="0" fillId="0" borderId="0" xfId="0" applyNumberFormat="1" applyBorder="1" applyProtection="1">
      <protection locked="0"/>
    </xf>
    <xf numFmtId="169" fontId="0" fillId="0" borderId="0" xfId="0" applyNumberFormat="1" applyProtection="1">
      <protection locked="0"/>
    </xf>
    <xf numFmtId="169" fontId="1" fillId="0" borderId="0" xfId="0" applyNumberFormat="1" applyFont="1" applyProtection="1">
      <protection locked="0"/>
    </xf>
    <xf numFmtId="0" fontId="37" fillId="0" borderId="0" xfId="0" applyFont="1" applyAlignment="1" applyProtection="1">
      <alignment horizontal="center" vertical="center"/>
    </xf>
    <xf numFmtId="0" fontId="45" fillId="0" borderId="0" xfId="0" applyFont="1" applyBorder="1" applyAlignment="1" applyProtection="1">
      <alignment horizontal="center" vertical="center"/>
    </xf>
    <xf numFmtId="0" fontId="46" fillId="0" borderId="0" xfId="0" applyFont="1" applyFill="1" applyBorder="1" applyAlignment="1" applyProtection="1">
      <alignment horizontal="center" vertical="center"/>
    </xf>
    <xf numFmtId="0" fontId="45" fillId="0" borderId="0" xfId="0" applyFont="1" applyFill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7" fillId="0" borderId="0" xfId="0" applyFont="1" applyProtection="1"/>
    <xf numFmtId="0" fontId="14" fillId="0" borderId="0" xfId="0" applyFont="1" applyProtection="1"/>
    <xf numFmtId="0" fontId="12" fillId="0" borderId="0" xfId="0" applyFont="1" applyBorder="1" applyProtection="1"/>
    <xf numFmtId="0" fontId="15" fillId="0" borderId="0" xfId="0" applyFont="1" applyProtection="1"/>
    <xf numFmtId="0" fontId="16" fillId="0" borderId="0" xfId="0" applyFont="1" applyProtection="1"/>
    <xf numFmtId="0" fontId="19" fillId="0" borderId="0" xfId="0" applyFont="1" applyBorder="1" applyProtection="1"/>
    <xf numFmtId="0" fontId="17" fillId="0" borderId="0" xfId="0" applyFont="1" applyBorder="1" applyAlignment="1" applyProtection="1">
      <alignment horizontal="left"/>
    </xf>
    <xf numFmtId="0" fontId="21" fillId="0" borderId="0" xfId="0" applyFont="1" applyAlignment="1" applyProtection="1">
      <alignment horizontal="center"/>
    </xf>
    <xf numFmtId="0" fontId="21" fillId="0" borderId="0" xfId="0" applyFont="1" applyProtection="1"/>
    <xf numFmtId="0" fontId="13" fillId="0" borderId="0" xfId="0" applyFont="1" applyProtection="1"/>
    <xf numFmtId="0" fontId="22" fillId="0" borderId="0" xfId="0" applyFont="1" applyProtection="1"/>
    <xf numFmtId="0" fontId="25" fillId="0" borderId="0" xfId="0" applyFont="1" applyBorder="1" applyAlignment="1" applyProtection="1">
      <alignment horizontal="left"/>
    </xf>
    <xf numFmtId="0" fontId="19" fillId="0" borderId="0" xfId="0" applyFont="1" applyBorder="1" applyAlignment="1" applyProtection="1">
      <alignment horizontal="left"/>
    </xf>
    <xf numFmtId="0" fontId="23" fillId="0" borderId="0" xfId="0" applyFont="1" applyProtection="1"/>
    <xf numFmtId="0" fontId="26" fillId="0" borderId="0" xfId="0" applyFont="1" applyBorder="1" applyAlignment="1" applyProtection="1">
      <alignment horizontal="left"/>
    </xf>
    <xf numFmtId="0" fontId="26" fillId="0" borderId="0" xfId="0" applyFont="1" applyProtection="1"/>
    <xf numFmtId="0" fontId="30" fillId="0" borderId="0" xfId="0" applyFont="1" applyBorder="1" applyAlignment="1" applyProtection="1"/>
    <xf numFmtId="0" fontId="3" fillId="0" borderId="0" xfId="0" applyFont="1" applyProtection="1"/>
    <xf numFmtId="0" fontId="24" fillId="0" borderId="0" xfId="0" applyFont="1" applyProtection="1"/>
    <xf numFmtId="0" fontId="27" fillId="0" borderId="0" xfId="0" applyFont="1" applyBorder="1" applyAlignment="1" applyProtection="1">
      <alignment horizontal="center"/>
    </xf>
    <xf numFmtId="0" fontId="20" fillId="0" borderId="0" xfId="0" applyFont="1" applyAlignment="1" applyProtection="1">
      <alignment horizontal="center"/>
    </xf>
    <xf numFmtId="14" fontId="20" fillId="0" borderId="0" xfId="0" applyNumberFormat="1" applyFont="1" applyAlignment="1" applyProtection="1"/>
    <xf numFmtId="14" fontId="6" fillId="0" borderId="0" xfId="0" applyNumberFormat="1" applyFont="1" applyAlignment="1" applyProtection="1">
      <alignment horizontal="left"/>
    </xf>
    <xf numFmtId="0" fontId="8" fillId="2" borderId="3" xfId="0" applyFont="1" applyFill="1" applyBorder="1" applyProtection="1"/>
    <xf numFmtId="0" fontId="5" fillId="2" borderId="0" xfId="0" applyFont="1" applyFill="1" applyBorder="1" applyProtection="1"/>
    <xf numFmtId="0" fontId="0" fillId="0" borderId="8" xfId="0" applyBorder="1" applyProtection="1"/>
    <xf numFmtId="0" fontId="8" fillId="0" borderId="11" xfId="0" applyFont="1" applyBorder="1" applyProtection="1"/>
    <xf numFmtId="0" fontId="28" fillId="0" borderId="0" xfId="0" applyFont="1" applyBorder="1" applyProtection="1"/>
    <xf numFmtId="0" fontId="28" fillId="0" borderId="0" xfId="0" applyFont="1" applyProtection="1"/>
    <xf numFmtId="0" fontId="8" fillId="0" borderId="0" xfId="0" applyFont="1" applyBorder="1" applyProtection="1"/>
    <xf numFmtId="14" fontId="8" fillId="0" borderId="0" xfId="0" applyNumberFormat="1" applyFont="1" applyBorder="1" applyProtection="1"/>
    <xf numFmtId="0" fontId="0" fillId="0" borderId="0" xfId="0" applyBorder="1" applyAlignment="1" applyProtection="1">
      <alignment horizontal="center"/>
    </xf>
    <xf numFmtId="14" fontId="17" fillId="2" borderId="0" xfId="0" applyNumberFormat="1" applyFont="1" applyFill="1" applyBorder="1" applyAlignment="1" applyProtection="1">
      <alignment horizontal="left"/>
    </xf>
    <xf numFmtId="0" fontId="8" fillId="0" borderId="0" xfId="0" applyFont="1" applyAlignment="1" applyProtection="1">
      <alignment horizontal="center"/>
    </xf>
    <xf numFmtId="0" fontId="43" fillId="0" borderId="3" xfId="0" applyFont="1" applyBorder="1" applyProtection="1"/>
    <xf numFmtId="0" fontId="17" fillId="0" borderId="0" xfId="0" applyFont="1" applyFill="1" applyBorder="1" applyAlignment="1" applyProtection="1">
      <alignment horizontal="right"/>
    </xf>
    <xf numFmtId="44" fontId="8" fillId="0" borderId="0" xfId="0" applyNumberFormat="1" applyFont="1" applyBorder="1" applyProtection="1"/>
    <xf numFmtId="0" fontId="17" fillId="0" borderId="0" xfId="0" applyFont="1" applyAlignment="1" applyProtection="1"/>
    <xf numFmtId="7" fontId="17" fillId="0" borderId="0" xfId="0" applyNumberFormat="1" applyFont="1" applyAlignment="1" applyProtection="1">
      <alignment horizontal="center"/>
    </xf>
    <xf numFmtId="0" fontId="17" fillId="0" borderId="0" xfId="0" applyFont="1" applyBorder="1" applyAlignment="1" applyProtection="1"/>
    <xf numFmtId="0" fontId="0" fillId="0" borderId="1" xfId="0" applyBorder="1" applyProtection="1"/>
    <xf numFmtId="0" fontId="0" fillId="0" borderId="2" xfId="0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Alignment="1" applyProtection="1"/>
    <xf numFmtId="0" fontId="4" fillId="0" borderId="4" xfId="0" applyFont="1" applyBorder="1" applyAlignment="1" applyProtection="1"/>
    <xf numFmtId="0" fontId="4" fillId="0" borderId="5" xfId="0" applyFont="1" applyBorder="1" applyAlignment="1" applyProtection="1"/>
    <xf numFmtId="0" fontId="4" fillId="0" borderId="6" xfId="0" applyFont="1" applyBorder="1" applyAlignment="1" applyProtection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8" fillId="0" borderId="7" xfId="0" applyFont="1" applyBorder="1" applyAlignment="1" applyProtection="1">
      <alignment horizontal="center"/>
    </xf>
    <xf numFmtId="0" fontId="26" fillId="0" borderId="3" xfId="0" applyFont="1" applyBorder="1" applyProtection="1"/>
    <xf numFmtId="0" fontId="25" fillId="0" borderId="0" xfId="0" applyFont="1" applyBorder="1" applyProtection="1"/>
    <xf numFmtId="0" fontId="26" fillId="0" borderId="3" xfId="0" applyFont="1" applyBorder="1" applyAlignment="1" applyProtection="1"/>
    <xf numFmtId="0" fontId="0" fillId="0" borderId="0" xfId="0" applyAlignment="1" applyProtection="1"/>
    <xf numFmtId="0" fontId="37" fillId="0" borderId="5" xfId="0" applyFont="1" applyBorder="1" applyAlignment="1" applyProtection="1">
      <alignment horizontal="center" vertical="center"/>
    </xf>
    <xf numFmtId="0" fontId="45" fillId="14" borderId="10" xfId="0" applyFont="1" applyFill="1" applyBorder="1" applyAlignment="1" applyProtection="1">
      <alignment horizontal="center" vertical="center"/>
    </xf>
    <xf numFmtId="0" fontId="45" fillId="12" borderId="10" xfId="0" applyFont="1" applyFill="1" applyBorder="1" applyAlignment="1" applyProtection="1">
      <alignment horizontal="center" vertical="center"/>
    </xf>
    <xf numFmtId="0" fontId="37" fillId="12" borderId="10" xfId="0" applyFont="1" applyFill="1" applyBorder="1" applyAlignment="1" applyProtection="1">
      <alignment horizontal="center" vertical="center"/>
    </xf>
    <xf numFmtId="0" fontId="25" fillId="0" borderId="0" xfId="0" applyFont="1" applyBorder="1" applyAlignment="1" applyProtection="1"/>
    <xf numFmtId="0" fontId="60" fillId="0" borderId="3" xfId="0" applyFont="1" applyBorder="1" applyAlignment="1" applyProtection="1"/>
    <xf numFmtId="0" fontId="30" fillId="2" borderId="3" xfId="0" applyFont="1" applyFill="1" applyBorder="1" applyAlignment="1" applyProtection="1">
      <alignment horizontal="center"/>
    </xf>
    <xf numFmtId="0" fontId="31" fillId="0" borderId="3" xfId="0" applyFont="1" applyBorder="1" applyAlignment="1" applyProtection="1">
      <alignment horizontal="center"/>
    </xf>
    <xf numFmtId="49" fontId="1" fillId="0" borderId="3" xfId="0" applyNumberFormat="1" applyFont="1" applyBorder="1" applyAlignment="1" applyProtection="1">
      <alignment horizontal="center" vertical="center"/>
    </xf>
    <xf numFmtId="0" fontId="46" fillId="14" borderId="6" xfId="0" applyFont="1" applyFill="1" applyBorder="1" applyAlignment="1" applyProtection="1">
      <alignment horizontal="center" vertical="center"/>
      <protection locked="0"/>
    </xf>
    <xf numFmtId="0" fontId="45" fillId="14" borderId="7" xfId="0" applyFont="1" applyFill="1" applyBorder="1" applyAlignment="1" applyProtection="1">
      <alignment horizontal="center" vertical="center"/>
      <protection locked="0"/>
    </xf>
    <xf numFmtId="0" fontId="46" fillId="14" borderId="7" xfId="0" applyFont="1" applyFill="1" applyBorder="1" applyAlignment="1" applyProtection="1">
      <alignment horizontal="center" vertical="center"/>
      <protection locked="0"/>
    </xf>
    <xf numFmtId="0" fontId="46" fillId="12" borderId="7" xfId="0" applyFont="1" applyFill="1" applyBorder="1" applyAlignment="1" applyProtection="1">
      <alignment horizontal="center" vertical="center"/>
      <protection locked="0"/>
    </xf>
    <xf numFmtId="0" fontId="45" fillId="12" borderId="7" xfId="0" applyFont="1" applyFill="1" applyBorder="1" applyAlignment="1" applyProtection="1">
      <alignment horizontal="center" vertical="center"/>
      <protection locked="0"/>
    </xf>
    <xf numFmtId="0" fontId="46" fillId="14" borderId="20" xfId="0" applyFont="1" applyFill="1" applyBorder="1" applyAlignment="1" applyProtection="1">
      <alignment horizontal="center" vertical="center"/>
      <protection locked="0"/>
    </xf>
    <xf numFmtId="0" fontId="45" fillId="14" borderId="21" xfId="0" applyFont="1" applyFill="1" applyBorder="1" applyAlignment="1" applyProtection="1">
      <alignment horizontal="center" vertical="center"/>
      <protection locked="0"/>
    </xf>
    <xf numFmtId="0" fontId="46" fillId="14" borderId="21" xfId="0" applyFont="1" applyFill="1" applyBorder="1" applyAlignment="1" applyProtection="1">
      <alignment horizontal="center" vertical="center"/>
      <protection locked="0"/>
    </xf>
    <xf numFmtId="0" fontId="45" fillId="14" borderId="22" xfId="0" applyFont="1" applyFill="1" applyBorder="1" applyAlignment="1" applyProtection="1">
      <alignment horizontal="center" vertical="center"/>
      <protection locked="0"/>
    </xf>
    <xf numFmtId="0" fontId="46" fillId="12" borderId="21" xfId="0" applyFont="1" applyFill="1" applyBorder="1" applyAlignment="1" applyProtection="1">
      <alignment horizontal="center" vertical="center"/>
      <protection locked="0"/>
    </xf>
    <xf numFmtId="0" fontId="45" fillId="12" borderId="21" xfId="0" applyFont="1" applyFill="1" applyBorder="1" applyAlignment="1" applyProtection="1">
      <alignment horizontal="center" vertical="center"/>
      <protection locked="0"/>
    </xf>
    <xf numFmtId="0" fontId="45" fillId="12" borderId="23" xfId="0" applyFont="1" applyFill="1" applyBorder="1" applyAlignment="1" applyProtection="1">
      <alignment horizontal="center" vertical="center"/>
      <protection locked="0"/>
    </xf>
    <xf numFmtId="0" fontId="45" fillId="12" borderId="25" xfId="0" applyFont="1" applyFill="1" applyBorder="1" applyAlignment="1" applyProtection="1">
      <alignment horizontal="center" vertical="center"/>
      <protection locked="0"/>
    </xf>
    <xf numFmtId="0" fontId="46" fillId="14" borderId="27" xfId="0" applyFont="1" applyFill="1" applyBorder="1" applyAlignment="1" applyProtection="1">
      <alignment horizontal="center" vertical="center"/>
      <protection locked="0"/>
    </xf>
    <xf numFmtId="0" fontId="45" fillId="14" borderId="27" xfId="0" applyFont="1" applyFill="1" applyBorder="1" applyAlignment="1" applyProtection="1">
      <alignment horizontal="center" vertical="center"/>
      <protection locked="0"/>
    </xf>
    <xf numFmtId="0" fontId="46" fillId="12" borderId="27" xfId="0" applyFont="1" applyFill="1" applyBorder="1" applyAlignment="1" applyProtection="1">
      <alignment horizontal="center" vertical="center"/>
      <protection locked="0"/>
    </xf>
    <xf numFmtId="0" fontId="45" fillId="12" borderId="27" xfId="0" applyFont="1" applyFill="1" applyBorder="1" applyAlignment="1" applyProtection="1">
      <alignment horizontal="center" vertical="center"/>
      <protection locked="0"/>
    </xf>
    <xf numFmtId="0" fontId="45" fillId="12" borderId="28" xfId="0" applyFont="1" applyFill="1" applyBorder="1" applyAlignment="1" applyProtection="1">
      <alignment horizontal="center" vertical="center"/>
      <protection locked="0"/>
    </xf>
    <xf numFmtId="0" fontId="45" fillId="14" borderId="0" xfId="0" applyFont="1" applyFill="1" applyBorder="1" applyAlignment="1" applyProtection="1">
      <alignment horizontal="center" vertical="center"/>
      <protection locked="0"/>
    </xf>
    <xf numFmtId="0" fontId="46" fillId="14" borderId="29" xfId="0" applyFont="1" applyFill="1" applyBorder="1" applyAlignment="1" applyProtection="1">
      <alignment horizontal="center" vertical="center"/>
      <protection locked="0"/>
    </xf>
    <xf numFmtId="0" fontId="46" fillId="14" borderId="3" xfId="0" applyFont="1" applyFill="1" applyBorder="1" applyAlignment="1" applyProtection="1">
      <alignment horizontal="center" vertical="center"/>
    </xf>
    <xf numFmtId="0" fontId="46" fillId="12" borderId="3" xfId="0" applyFont="1" applyFill="1" applyBorder="1" applyAlignment="1" applyProtection="1">
      <alignment horizontal="center" vertical="center"/>
    </xf>
    <xf numFmtId="0" fontId="46" fillId="14" borderId="13" xfId="0" applyFont="1" applyFill="1" applyBorder="1" applyAlignment="1" applyProtection="1">
      <alignment horizontal="center" vertical="center"/>
    </xf>
    <xf numFmtId="0" fontId="46" fillId="14" borderId="7" xfId="0" applyFont="1" applyFill="1" applyBorder="1" applyAlignment="1" applyProtection="1">
      <alignment horizontal="center" vertical="center"/>
    </xf>
    <xf numFmtId="0" fontId="45" fillId="14" borderId="7" xfId="0" applyFont="1" applyFill="1" applyBorder="1" applyAlignment="1" applyProtection="1">
      <alignment horizontal="center" vertical="center"/>
    </xf>
    <xf numFmtId="0" fontId="46" fillId="12" borderId="7" xfId="0" applyFont="1" applyFill="1" applyBorder="1" applyAlignment="1" applyProtection="1">
      <alignment horizontal="center" vertical="center"/>
    </xf>
    <xf numFmtId="0" fontId="45" fillId="12" borderId="7" xfId="0" applyFont="1" applyFill="1" applyBorder="1" applyAlignment="1" applyProtection="1">
      <alignment horizontal="center" vertical="center"/>
    </xf>
    <xf numFmtId="14" fontId="45" fillId="0" borderId="19" xfId="0" applyNumberFormat="1" applyFont="1" applyBorder="1" applyAlignment="1" applyProtection="1">
      <alignment horizontal="center" vertical="center"/>
    </xf>
    <xf numFmtId="0" fontId="45" fillId="14" borderId="21" xfId="0" applyFont="1" applyFill="1" applyBorder="1" applyAlignment="1" applyProtection="1">
      <alignment horizontal="center" vertical="center"/>
    </xf>
    <xf numFmtId="0" fontId="46" fillId="14" borderId="21" xfId="0" applyFont="1" applyFill="1" applyBorder="1" applyAlignment="1" applyProtection="1">
      <alignment horizontal="center" vertical="center"/>
    </xf>
    <xf numFmtId="0" fontId="45" fillId="14" borderId="22" xfId="0" applyFont="1" applyFill="1" applyBorder="1" applyAlignment="1" applyProtection="1">
      <alignment horizontal="center" vertical="center"/>
    </xf>
    <xf numFmtId="0" fontId="46" fillId="12" borderId="21" xfId="0" applyFont="1" applyFill="1" applyBorder="1" applyAlignment="1" applyProtection="1">
      <alignment horizontal="center" vertical="center"/>
    </xf>
    <xf numFmtId="0" fontId="45" fillId="12" borderId="21" xfId="0" applyFont="1" applyFill="1" applyBorder="1" applyAlignment="1" applyProtection="1">
      <alignment horizontal="center" vertical="center"/>
    </xf>
    <xf numFmtId="0" fontId="45" fillId="12" borderId="23" xfId="0" applyFont="1" applyFill="1" applyBorder="1" applyAlignment="1" applyProtection="1">
      <alignment horizontal="center" vertical="center"/>
    </xf>
    <xf numFmtId="14" fontId="45" fillId="0" borderId="24" xfId="0" applyNumberFormat="1" applyFont="1" applyBorder="1" applyAlignment="1" applyProtection="1">
      <alignment horizontal="center" vertical="center"/>
    </xf>
    <xf numFmtId="0" fontId="45" fillId="12" borderId="25" xfId="0" applyFont="1" applyFill="1" applyBorder="1" applyAlignment="1" applyProtection="1">
      <alignment horizontal="center" vertical="center"/>
    </xf>
    <xf numFmtId="14" fontId="45" fillId="0" borderId="26" xfId="0" applyNumberFormat="1" applyFont="1" applyBorder="1" applyAlignment="1" applyProtection="1">
      <alignment horizontal="center" vertical="center"/>
    </xf>
    <xf numFmtId="0" fontId="45" fillId="14" borderId="27" xfId="0" applyFont="1" applyFill="1" applyBorder="1" applyAlignment="1" applyProtection="1">
      <alignment horizontal="center" vertical="center"/>
    </xf>
    <xf numFmtId="0" fontId="46" fillId="14" borderId="27" xfId="0" applyFont="1" applyFill="1" applyBorder="1" applyAlignment="1" applyProtection="1">
      <alignment horizontal="center" vertical="center"/>
    </xf>
    <xf numFmtId="0" fontId="46" fillId="12" borderId="27" xfId="0" applyFont="1" applyFill="1" applyBorder="1" applyAlignment="1" applyProtection="1">
      <alignment horizontal="center" vertical="center"/>
    </xf>
    <xf numFmtId="0" fontId="45" fillId="12" borderId="27" xfId="0" applyFont="1" applyFill="1" applyBorder="1" applyAlignment="1" applyProtection="1">
      <alignment horizontal="center" vertical="center"/>
    </xf>
    <xf numFmtId="0" fontId="45" fillId="12" borderId="28" xfId="0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vertical="center"/>
    </xf>
    <xf numFmtId="0" fontId="46" fillId="14" borderId="6" xfId="0" applyFont="1" applyFill="1" applyBorder="1" applyAlignment="1" applyProtection="1">
      <alignment horizontal="center" vertical="center"/>
    </xf>
    <xf numFmtId="0" fontId="45" fillId="14" borderId="4" xfId="0" applyFont="1" applyFill="1" applyBorder="1" applyAlignment="1" applyProtection="1">
      <alignment horizontal="center" vertical="center"/>
    </xf>
    <xf numFmtId="14" fontId="45" fillId="0" borderId="30" xfId="0" applyNumberFormat="1" applyFont="1" applyBorder="1" applyAlignment="1" applyProtection="1">
      <alignment horizontal="center" vertical="center"/>
    </xf>
    <xf numFmtId="0" fontId="45" fillId="12" borderId="31" xfId="0" applyFont="1" applyFill="1" applyBorder="1" applyAlignment="1" applyProtection="1">
      <alignment horizontal="center" vertical="center"/>
    </xf>
    <xf numFmtId="0" fontId="45" fillId="12" borderId="31" xfId="0" applyFont="1" applyFill="1" applyBorder="1" applyAlignment="1" applyProtection="1">
      <alignment horizontal="center" vertical="center"/>
      <protection locked="0"/>
    </xf>
    <xf numFmtId="2" fontId="0" fillId="14" borderId="3" xfId="0" applyNumberFormat="1" applyFill="1" applyBorder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2" fontId="0" fillId="12" borderId="3" xfId="0" applyNumberFormat="1" applyFill="1" applyBorder="1" applyAlignment="1" applyProtection="1">
      <alignment horizontal="center" vertical="center"/>
    </xf>
    <xf numFmtId="2" fontId="47" fillId="0" borderId="0" xfId="0" applyNumberFormat="1" applyFont="1" applyFill="1" applyBorder="1" applyAlignment="1" applyProtection="1">
      <alignment horizontal="center" vertical="center"/>
    </xf>
    <xf numFmtId="2" fontId="45" fillId="14" borderId="3" xfId="0" applyNumberFormat="1" applyFont="1" applyFill="1" applyBorder="1" applyAlignment="1" applyProtection="1">
      <alignment horizontal="center" vertical="center"/>
    </xf>
    <xf numFmtId="2" fontId="37" fillId="12" borderId="3" xfId="0" applyNumberFormat="1" applyFont="1" applyFill="1" applyBorder="1" applyAlignment="1" applyProtection="1">
      <alignment horizontal="center" vertical="center"/>
    </xf>
    <xf numFmtId="0" fontId="61" fillId="0" borderId="0" xfId="0" applyFont="1" applyAlignment="1" applyProtection="1">
      <alignment horizontal="center" vertical="center"/>
    </xf>
    <xf numFmtId="0" fontId="61" fillId="14" borderId="13" xfId="0" applyFont="1" applyFill="1" applyBorder="1" applyAlignment="1" applyProtection="1">
      <alignment horizontal="center" vertical="center"/>
    </xf>
    <xf numFmtId="0" fontId="61" fillId="12" borderId="13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2" fontId="0" fillId="0" borderId="3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167" fontId="14" fillId="0" borderId="3" xfId="0" applyNumberFormat="1" applyFont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1" fillId="0" borderId="0" xfId="0" applyFont="1" applyProtection="1"/>
    <xf numFmtId="4" fontId="14" fillId="10" borderId="3" xfId="0" applyNumberFormat="1" applyFont="1" applyFill="1" applyBorder="1" applyAlignment="1" applyProtection="1">
      <alignment horizontal="center" vertical="center"/>
    </xf>
    <xf numFmtId="167" fontId="14" fillId="10" borderId="3" xfId="0" applyNumberFormat="1" applyFont="1" applyFill="1" applyBorder="1" applyAlignment="1" applyProtection="1">
      <alignment horizontal="left" vertical="center"/>
    </xf>
    <xf numFmtId="0" fontId="1" fillId="10" borderId="3" xfId="0" applyFont="1" applyFill="1" applyBorder="1" applyAlignment="1" applyProtection="1">
      <alignment horizontal="center" vertical="center"/>
    </xf>
    <xf numFmtId="0" fontId="14" fillId="10" borderId="3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" fontId="14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</xf>
    <xf numFmtId="0" fontId="56" fillId="0" borderId="0" xfId="0" applyFont="1" applyAlignment="1" applyProtection="1">
      <alignment horizontal="left" vertical="center"/>
    </xf>
    <xf numFmtId="0" fontId="62" fillId="0" borderId="3" xfId="0" applyFont="1" applyBorder="1" applyAlignment="1" applyProtection="1">
      <alignment horizontal="center" vertical="center"/>
    </xf>
    <xf numFmtId="0" fontId="0" fillId="0" borderId="52" xfId="0" pivotButton="1" applyBorder="1" applyProtection="1"/>
    <xf numFmtId="0" fontId="0" fillId="0" borderId="53" xfId="0" applyBorder="1" applyProtection="1"/>
    <xf numFmtId="0" fontId="0" fillId="0" borderId="0" xfId="0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58" fillId="0" borderId="0" xfId="0" applyFont="1" applyFill="1" applyBorder="1" applyAlignment="1" applyProtection="1">
      <alignment vertical="center"/>
    </xf>
    <xf numFmtId="2" fontId="65" fillId="16" borderId="3" xfId="0" applyNumberFormat="1" applyFont="1" applyFill="1" applyBorder="1" applyAlignment="1" applyProtection="1">
      <alignment horizontal="center" vertical="center"/>
    </xf>
    <xf numFmtId="2" fontId="59" fillId="16" borderId="3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4" fillId="0" borderId="3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67" fillId="0" borderId="0" xfId="0" applyFont="1" applyBorder="1" applyAlignment="1" applyProtection="1">
      <alignment vertical="center"/>
    </xf>
    <xf numFmtId="0" fontId="67" fillId="0" borderId="0" xfId="0" applyFont="1" applyBorder="1" applyProtection="1"/>
    <xf numFmtId="0" fontId="67" fillId="0" borderId="0" xfId="0" applyFont="1" applyBorder="1" applyAlignment="1" applyProtection="1">
      <alignment horizontal="left" vertical="center"/>
    </xf>
    <xf numFmtId="0" fontId="67" fillId="0" borderId="2" xfId="0" applyFont="1" applyBorder="1" applyAlignment="1" applyProtection="1">
      <alignment horizontal="center"/>
    </xf>
    <xf numFmtId="0" fontId="68" fillId="0" borderId="3" xfId="0" applyFont="1" applyBorder="1" applyAlignment="1" applyProtection="1">
      <alignment horizontal="center" vertical="center"/>
    </xf>
    <xf numFmtId="0" fontId="68" fillId="0" borderId="3" xfId="0" applyFont="1" applyBorder="1" applyAlignment="1" applyProtection="1">
      <alignment horizontal="center" vertical="center" wrapText="1"/>
    </xf>
    <xf numFmtId="0" fontId="67" fillId="0" borderId="0" xfId="0" applyFont="1" applyProtection="1"/>
    <xf numFmtId="0" fontId="70" fillId="10" borderId="3" xfId="0" applyFont="1" applyFill="1" applyBorder="1" applyAlignment="1" applyProtection="1">
      <alignment horizontal="center"/>
    </xf>
    <xf numFmtId="0" fontId="67" fillId="10" borderId="3" xfId="0" applyFont="1" applyFill="1" applyBorder="1" applyAlignment="1" applyProtection="1">
      <alignment horizontal="center"/>
    </xf>
    <xf numFmtId="0" fontId="67" fillId="10" borderId="11" xfId="0" applyFont="1" applyFill="1" applyBorder="1" applyAlignment="1" applyProtection="1">
      <alignment horizontal="center"/>
    </xf>
    <xf numFmtId="2" fontId="67" fillId="10" borderId="3" xfId="0" applyNumberFormat="1" applyFont="1" applyFill="1" applyBorder="1" applyAlignment="1" applyProtection="1">
      <alignment horizontal="center"/>
    </xf>
    <xf numFmtId="0" fontId="70" fillId="11" borderId="3" xfId="0" applyFont="1" applyFill="1" applyBorder="1" applyAlignment="1" applyProtection="1">
      <alignment horizontal="center"/>
    </xf>
    <xf numFmtId="0" fontId="67" fillId="11" borderId="3" xfId="0" applyFont="1" applyFill="1" applyBorder="1" applyAlignment="1" applyProtection="1">
      <alignment horizontal="center"/>
    </xf>
    <xf numFmtId="2" fontId="67" fillId="11" borderId="3" xfId="0" applyNumberFormat="1" applyFont="1" applyFill="1" applyBorder="1" applyAlignment="1" applyProtection="1">
      <alignment horizontal="center"/>
    </xf>
    <xf numFmtId="0" fontId="70" fillId="12" borderId="3" xfId="0" applyFont="1" applyFill="1" applyBorder="1" applyAlignment="1" applyProtection="1">
      <alignment horizontal="center"/>
    </xf>
    <xf numFmtId="0" fontId="67" fillId="12" borderId="3" xfId="0" applyFont="1" applyFill="1" applyBorder="1" applyAlignment="1" applyProtection="1">
      <alignment horizontal="center"/>
    </xf>
    <xf numFmtId="0" fontId="67" fillId="12" borderId="0" xfId="0" applyFont="1" applyFill="1" applyAlignment="1" applyProtection="1">
      <alignment horizontal="center"/>
    </xf>
    <xf numFmtId="2" fontId="67" fillId="12" borderId="3" xfId="0" applyNumberFormat="1" applyFont="1" applyFill="1" applyBorder="1" applyAlignment="1" applyProtection="1">
      <alignment horizontal="center"/>
    </xf>
    <xf numFmtId="0" fontId="67" fillId="10" borderId="3" xfId="0" applyFont="1" applyFill="1" applyBorder="1" applyAlignment="1" applyProtection="1">
      <alignment horizontal="center" vertical="center" wrapText="1"/>
    </xf>
    <xf numFmtId="0" fontId="70" fillId="0" borderId="0" xfId="0" applyFont="1" applyBorder="1" applyAlignment="1" applyProtection="1">
      <alignment horizontal="center"/>
    </xf>
    <xf numFmtId="0" fontId="67" fillId="0" borderId="0" xfId="0" applyFont="1" applyBorder="1" applyAlignment="1" applyProtection="1">
      <alignment horizontal="center"/>
    </xf>
    <xf numFmtId="0" fontId="67" fillId="0" borderId="0" xfId="0" applyFont="1" applyFill="1" applyBorder="1" applyAlignment="1" applyProtection="1">
      <alignment horizontal="center"/>
    </xf>
    <xf numFmtId="2" fontId="67" fillId="13" borderId="3" xfId="0" applyNumberFormat="1" applyFont="1" applyFill="1" applyBorder="1" applyAlignment="1" applyProtection="1">
      <alignment horizontal="center"/>
    </xf>
    <xf numFmtId="0" fontId="70" fillId="0" borderId="3" xfId="0" applyFont="1" applyBorder="1" applyAlignment="1" applyProtection="1">
      <alignment horizontal="center"/>
    </xf>
    <xf numFmtId="0" fontId="67" fillId="0" borderId="3" xfId="0" applyFont="1" applyBorder="1" applyAlignment="1" applyProtection="1">
      <alignment horizontal="center"/>
    </xf>
    <xf numFmtId="0" fontId="67" fillId="13" borderId="3" xfId="0" applyFont="1" applyFill="1" applyBorder="1" applyAlignment="1" applyProtection="1">
      <alignment horizontal="center"/>
    </xf>
    <xf numFmtId="0" fontId="67" fillId="9" borderId="3" xfId="0" applyFont="1" applyFill="1" applyBorder="1" applyAlignment="1" applyProtection="1">
      <alignment horizontal="center"/>
    </xf>
    <xf numFmtId="0" fontId="67" fillId="6" borderId="8" xfId="0" applyFont="1" applyFill="1" applyBorder="1" applyAlignment="1" applyProtection="1">
      <alignment horizontal="right" vertical="center"/>
    </xf>
    <xf numFmtId="0" fontId="67" fillId="6" borderId="3" xfId="0" applyFont="1" applyFill="1" applyBorder="1" applyProtection="1"/>
    <xf numFmtId="0" fontId="67" fillId="9" borderId="3" xfId="0" applyFont="1" applyFill="1" applyBorder="1" applyProtection="1"/>
    <xf numFmtId="0" fontId="67" fillId="5" borderId="3" xfId="0" applyFont="1" applyFill="1" applyBorder="1" applyAlignment="1" applyProtection="1">
      <alignment horizontal="center"/>
    </xf>
    <xf numFmtId="0" fontId="69" fillId="5" borderId="3" xfId="0" applyFont="1" applyFill="1" applyBorder="1" applyAlignment="1" applyProtection="1">
      <alignment horizontal="center"/>
    </xf>
    <xf numFmtId="0" fontId="67" fillId="0" borderId="0" xfId="0" applyFont="1" applyAlignment="1" applyProtection="1">
      <alignment horizontal="right" vertical="center"/>
    </xf>
    <xf numFmtId="0" fontId="68" fillId="7" borderId="10" xfId="0" applyFont="1" applyFill="1" applyBorder="1" applyAlignment="1" applyProtection="1">
      <alignment vertical="center"/>
    </xf>
    <xf numFmtId="0" fontId="67" fillId="7" borderId="10" xfId="0" applyFont="1" applyFill="1" applyBorder="1" applyProtection="1"/>
    <xf numFmtId="0" fontId="67" fillId="0" borderId="0" xfId="0" applyFont="1" applyFill="1" applyBorder="1" applyProtection="1"/>
    <xf numFmtId="0" fontId="67" fillId="8" borderId="7" xfId="0" applyFont="1" applyFill="1" applyBorder="1" applyAlignment="1" applyProtection="1">
      <alignment horizontal="right" vertical="center"/>
    </xf>
    <xf numFmtId="0" fontId="67" fillId="8" borderId="10" xfId="0" applyFont="1" applyFill="1" applyBorder="1" applyProtection="1"/>
    <xf numFmtId="0" fontId="67" fillId="0" borderId="0" xfId="0" applyFont="1" applyFill="1" applyBorder="1" applyAlignment="1" applyProtection="1">
      <alignment horizontal="right"/>
    </xf>
    <xf numFmtId="0" fontId="67" fillId="0" borderId="0" xfId="0" applyFont="1" applyFill="1" applyBorder="1" applyAlignment="1" applyProtection="1">
      <alignment horizontal="left"/>
    </xf>
    <xf numFmtId="0" fontId="67" fillId="0" borderId="0" xfId="0" applyFont="1" applyFill="1" applyProtection="1"/>
    <xf numFmtId="0" fontId="67" fillId="0" borderId="0" xfId="0" applyFont="1"/>
    <xf numFmtId="0" fontId="67" fillId="0" borderId="0" xfId="0" applyFont="1" applyFill="1" applyBorder="1"/>
    <xf numFmtId="0" fontId="67" fillId="0" borderId="3" xfId="0" applyFont="1" applyBorder="1"/>
    <xf numFmtId="164" fontId="67" fillId="0" borderId="3" xfId="15" applyNumberFormat="1" applyFont="1" applyBorder="1"/>
    <xf numFmtId="2" fontId="67" fillId="0" borderId="3" xfId="15" applyNumberFormat="1" applyFont="1" applyBorder="1"/>
    <xf numFmtId="0" fontId="67" fillId="0" borderId="0" xfId="0" applyFont="1" applyFill="1" applyBorder="1" applyAlignment="1">
      <alignment horizontal="center" vertical="center" wrapText="1"/>
    </xf>
    <xf numFmtId="0" fontId="67" fillId="5" borderId="3" xfId="0" applyFont="1" applyFill="1" applyBorder="1" applyAlignment="1">
      <alignment horizontal="center"/>
    </xf>
    <xf numFmtId="14" fontId="67" fillId="0" borderId="0" xfId="0" applyNumberFormat="1" applyFont="1"/>
    <xf numFmtId="0" fontId="67" fillId="0" borderId="3" xfId="0" applyFont="1" applyFill="1" applyBorder="1" applyAlignment="1">
      <alignment horizontal="center"/>
    </xf>
    <xf numFmtId="0" fontId="67" fillId="0" borderId="0" xfId="0" applyFont="1" applyFill="1"/>
    <xf numFmtId="0" fontId="67" fillId="0" borderId="0" xfId="0" applyFont="1" applyAlignment="1">
      <alignment horizontal="right"/>
    </xf>
    <xf numFmtId="164" fontId="67" fillId="0" borderId="0" xfId="0" applyNumberFormat="1" applyFont="1"/>
    <xf numFmtId="2" fontId="67" fillId="0" borderId="0" xfId="0" applyNumberFormat="1" applyFont="1"/>
    <xf numFmtId="0" fontId="67" fillId="3" borderId="0" xfId="0" applyFont="1" applyFill="1" applyAlignment="1">
      <alignment horizontal="right"/>
    </xf>
    <xf numFmtId="2" fontId="67" fillId="3" borderId="0" xfId="0" applyNumberFormat="1" applyFont="1" applyFill="1"/>
    <xf numFmtId="0" fontId="67" fillId="0" borderId="0" xfId="0" applyFont="1" applyAlignment="1">
      <alignment horizontal="left" vertical="top"/>
    </xf>
    <xf numFmtId="0" fontId="71" fillId="0" borderId="0" xfId="0" applyFont="1" applyFill="1" applyBorder="1" applyAlignment="1">
      <alignment horizontal="left" vertical="top"/>
    </xf>
    <xf numFmtId="0" fontId="72" fillId="0" borderId="0" xfId="0" applyFont="1" applyFill="1" applyBorder="1" applyAlignment="1">
      <alignment horizontal="right" vertical="top"/>
    </xf>
    <xf numFmtId="171" fontId="77" fillId="0" borderId="0" xfId="0" applyNumberFormat="1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center" vertical="top"/>
    </xf>
    <xf numFmtId="0" fontId="71" fillId="0" borderId="33" xfId="0" applyFont="1" applyFill="1" applyBorder="1" applyAlignment="1">
      <alignment horizontal="left" vertical="top"/>
    </xf>
    <xf numFmtId="0" fontId="71" fillId="0" borderId="34" xfId="0" applyFont="1" applyFill="1" applyBorder="1" applyAlignment="1">
      <alignment horizontal="left" vertical="top"/>
    </xf>
    <xf numFmtId="0" fontId="71" fillId="0" borderId="36" xfId="0" applyFont="1" applyFill="1" applyBorder="1" applyAlignment="1">
      <alignment horizontal="left" vertical="top"/>
    </xf>
    <xf numFmtId="0" fontId="71" fillId="0" borderId="42" xfId="0" applyFont="1" applyFill="1" applyBorder="1" applyAlignment="1">
      <alignment horizontal="left" vertical="top"/>
    </xf>
    <xf numFmtId="0" fontId="72" fillId="0" borderId="36" xfId="0" applyFont="1" applyFill="1" applyBorder="1" applyAlignment="1">
      <alignment horizontal="left" vertical="top"/>
    </xf>
    <xf numFmtId="0" fontId="67" fillId="0" borderId="0" xfId="0" applyFont="1" applyBorder="1" applyAlignment="1">
      <alignment horizontal="left" vertical="top"/>
    </xf>
    <xf numFmtId="0" fontId="67" fillId="0" borderId="42" xfId="0" applyFont="1" applyBorder="1" applyAlignment="1">
      <alignment horizontal="left" vertical="top"/>
    </xf>
    <xf numFmtId="0" fontId="81" fillId="0" borderId="39" xfId="0" applyFont="1" applyFill="1" applyBorder="1" applyAlignment="1">
      <alignment vertical="top"/>
    </xf>
    <xf numFmtId="0" fontId="71" fillId="0" borderId="43" xfId="0" applyFont="1" applyFill="1" applyBorder="1" applyAlignment="1">
      <alignment vertical="center"/>
    </xf>
    <xf numFmtId="0" fontId="81" fillId="0" borderId="0" xfId="0" applyFont="1" applyFill="1" applyBorder="1" applyAlignment="1">
      <alignment vertical="top"/>
    </xf>
    <xf numFmtId="0" fontId="81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vertical="top"/>
    </xf>
    <xf numFmtId="0" fontId="81" fillId="0" borderId="42" xfId="0" applyFont="1" applyFill="1" applyBorder="1" applyAlignment="1">
      <alignment horizontal="left" vertical="top"/>
    </xf>
    <xf numFmtId="0" fontId="71" fillId="0" borderId="43" xfId="0" applyFont="1" applyFill="1" applyBorder="1" applyAlignment="1">
      <alignment horizontal="left"/>
    </xf>
    <xf numFmtId="0" fontId="85" fillId="0" borderId="43" xfId="0" applyFont="1" applyFill="1" applyBorder="1" applyAlignment="1">
      <alignment horizontal="left"/>
    </xf>
    <xf numFmtId="0" fontId="86" fillId="0" borderId="43" xfId="0" applyFont="1" applyBorder="1" applyAlignment="1">
      <alignment horizontal="left"/>
    </xf>
    <xf numFmtId="0" fontId="86" fillId="0" borderId="43" xfId="0" applyFont="1" applyBorder="1" applyAlignment="1">
      <alignment horizontal="left" vertical="top"/>
    </xf>
    <xf numFmtId="0" fontId="71" fillId="0" borderId="41" xfId="0" applyFont="1" applyFill="1" applyBorder="1" applyAlignment="1">
      <alignment horizontal="left"/>
    </xf>
    <xf numFmtId="0" fontId="71" fillId="0" borderId="0" xfId="0" applyFont="1" applyFill="1" applyBorder="1" applyAlignment="1">
      <alignment horizontal="left"/>
    </xf>
    <xf numFmtId="0" fontId="83" fillId="0" borderId="0" xfId="0" applyFont="1" applyFill="1" applyBorder="1" applyAlignment="1">
      <alignment horizontal="left"/>
    </xf>
    <xf numFmtId="0" fontId="81" fillId="0" borderId="0" xfId="0" applyFont="1" applyFill="1" applyBorder="1" applyAlignment="1">
      <alignment horizontal="right"/>
    </xf>
    <xf numFmtId="0" fontId="81" fillId="0" borderId="0" xfId="0" applyFont="1" applyFill="1" applyBorder="1" applyAlignment="1">
      <alignment horizontal="left"/>
    </xf>
    <xf numFmtId="0" fontId="67" fillId="0" borderId="0" xfId="0" applyFont="1" applyBorder="1" applyAlignment="1">
      <alignment horizontal="left"/>
    </xf>
    <xf numFmtId="0" fontId="87" fillId="0" borderId="33" xfId="0" applyFont="1" applyFill="1" applyBorder="1" applyAlignment="1">
      <alignment vertical="top"/>
    </xf>
    <xf numFmtId="0" fontId="67" fillId="0" borderId="33" xfId="0" applyFont="1" applyBorder="1" applyAlignment="1">
      <alignment horizontal="left" vertical="top"/>
    </xf>
    <xf numFmtId="0" fontId="78" fillId="0" borderId="0" xfId="0" applyFont="1" applyFill="1" applyBorder="1" applyAlignment="1">
      <alignment vertical="top"/>
    </xf>
    <xf numFmtId="0" fontId="86" fillId="0" borderId="0" xfId="0" applyFont="1" applyBorder="1" applyAlignment="1">
      <alignment horizontal="left" vertical="top"/>
    </xf>
    <xf numFmtId="0" fontId="86" fillId="0" borderId="0" xfId="0" applyFont="1" applyAlignment="1">
      <alignment horizontal="left" vertical="top"/>
    </xf>
    <xf numFmtId="0" fontId="71" fillId="0" borderId="43" xfId="0" applyFont="1" applyFill="1" applyBorder="1" applyAlignment="1">
      <alignment horizontal="left" vertical="top"/>
    </xf>
    <xf numFmtId="0" fontId="71" fillId="0" borderId="41" xfId="0" applyFont="1" applyFill="1" applyBorder="1" applyAlignment="1">
      <alignment horizontal="left" vertical="top"/>
    </xf>
    <xf numFmtId="0" fontId="83" fillId="0" borderId="0" xfId="0" applyFont="1" applyFill="1" applyBorder="1" applyAlignment="1">
      <alignment horizontal="left" vertical="top"/>
    </xf>
    <xf numFmtId="0" fontId="83" fillId="0" borderId="36" xfId="0" applyFont="1" applyFill="1" applyBorder="1" applyAlignment="1">
      <alignment horizontal="left" vertical="top"/>
    </xf>
    <xf numFmtId="0" fontId="83" fillId="0" borderId="42" xfId="0" applyFont="1" applyFill="1" applyBorder="1" applyAlignment="1">
      <alignment horizontal="left" vertical="top"/>
    </xf>
    <xf numFmtId="0" fontId="73" fillId="0" borderId="0" xfId="0" applyFont="1" applyAlignment="1">
      <alignment horizontal="left" vertical="top"/>
    </xf>
    <xf numFmtId="0" fontId="83" fillId="0" borderId="39" xfId="0" applyFont="1" applyFill="1" applyBorder="1" applyAlignment="1">
      <alignment horizontal="left" vertical="top"/>
    </xf>
    <xf numFmtId="0" fontId="83" fillId="0" borderId="43" xfId="0" applyFont="1" applyFill="1" applyBorder="1" applyAlignment="1">
      <alignment horizontal="left" vertical="top"/>
    </xf>
    <xf numFmtId="0" fontId="83" fillId="0" borderId="41" xfId="0" applyFont="1" applyFill="1" applyBorder="1" applyAlignment="1">
      <alignment horizontal="left" vertical="top"/>
    </xf>
    <xf numFmtId="0" fontId="83" fillId="0" borderId="44" xfId="0" applyFont="1" applyFill="1" applyBorder="1" applyAlignment="1">
      <alignment horizontal="left" vertical="top"/>
    </xf>
    <xf numFmtId="0" fontId="83" fillId="0" borderId="45" xfId="0" applyFont="1" applyFill="1" applyBorder="1" applyAlignment="1">
      <alignment horizontal="left" vertical="top"/>
    </xf>
    <xf numFmtId="0" fontId="83" fillId="0" borderId="46" xfId="0" applyFont="1" applyFill="1" applyBorder="1" applyAlignment="1">
      <alignment horizontal="left" vertical="top"/>
    </xf>
    <xf numFmtId="0" fontId="83" fillId="0" borderId="47" xfId="0" applyFont="1" applyFill="1" applyBorder="1" applyAlignment="1">
      <alignment horizontal="left" vertical="top"/>
    </xf>
    <xf numFmtId="0" fontId="83" fillId="0" borderId="48" xfId="0" applyFont="1" applyFill="1" applyBorder="1" applyAlignment="1">
      <alignment horizontal="left" vertical="top"/>
    </xf>
    <xf numFmtId="0" fontId="72" fillId="0" borderId="47" xfId="0" applyFont="1" applyFill="1" applyBorder="1" applyAlignment="1">
      <alignment horizontal="left" vertical="top"/>
    </xf>
    <xf numFmtId="0" fontId="73" fillId="0" borderId="0" xfId="0" applyFont="1" applyBorder="1" applyAlignment="1">
      <alignment horizontal="left" vertical="top"/>
    </xf>
    <xf numFmtId="0" fontId="83" fillId="0" borderId="49" xfId="0" applyFont="1" applyFill="1" applyBorder="1" applyAlignment="1">
      <alignment horizontal="left" vertical="top"/>
    </xf>
    <xf numFmtId="0" fontId="83" fillId="0" borderId="50" xfId="0" applyFont="1" applyFill="1" applyBorder="1" applyAlignment="1">
      <alignment horizontal="left" vertical="top"/>
    </xf>
    <xf numFmtId="0" fontId="73" fillId="0" borderId="50" xfId="0" applyFont="1" applyBorder="1" applyAlignment="1">
      <alignment horizontal="left" vertical="top"/>
    </xf>
    <xf numFmtId="0" fontId="83" fillId="0" borderId="51" xfId="0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right" vertical="top"/>
    </xf>
    <xf numFmtId="171" fontId="99" fillId="0" borderId="0" xfId="0" applyNumberFormat="1" applyFont="1" applyFill="1" applyBorder="1" applyAlignment="1">
      <alignment horizontal="right" vertical="top"/>
    </xf>
    <xf numFmtId="0" fontId="100" fillId="0" borderId="14" xfId="0" applyFont="1" applyFill="1" applyBorder="1" applyAlignment="1">
      <alignment horizontal="left" vertical="top"/>
    </xf>
    <xf numFmtId="0" fontId="100" fillId="0" borderId="0" xfId="0" applyFont="1" applyFill="1" applyBorder="1" applyAlignment="1">
      <alignment horizontal="left" vertical="top"/>
    </xf>
    <xf numFmtId="0" fontId="84" fillId="0" borderId="0" xfId="0" applyFont="1" applyAlignment="1">
      <alignment horizontal="left" vertical="top"/>
    </xf>
    <xf numFmtId="0" fontId="99" fillId="0" borderId="0" xfId="0" applyFont="1" applyFill="1" applyBorder="1" applyAlignment="1">
      <alignment horizontal="left" vertical="top"/>
    </xf>
    <xf numFmtId="0" fontId="0" fillId="0" borderId="3" xfId="0" applyBorder="1" applyProtection="1"/>
    <xf numFmtId="0" fontId="54" fillId="0" borderId="3" xfId="0" applyFont="1" applyBorder="1" applyAlignment="1" applyProtection="1">
      <alignment vertical="center"/>
    </xf>
    <xf numFmtId="2" fontId="54" fillId="0" borderId="0" xfId="0" applyNumberFormat="1" applyFont="1" applyBorder="1" applyAlignment="1" applyProtection="1">
      <alignment vertical="center"/>
    </xf>
    <xf numFmtId="2" fontId="48" fillId="16" borderId="3" xfId="0" applyNumberFormat="1" applyFont="1" applyFill="1" applyBorder="1" applyAlignment="1" applyProtection="1">
      <alignment horizontal="center" vertical="center"/>
    </xf>
    <xf numFmtId="2" fontId="55" fillId="16" borderId="3" xfId="0" applyNumberFormat="1" applyFont="1" applyFill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169" fontId="0" fillId="0" borderId="3" xfId="0" applyNumberFormat="1" applyBorder="1" applyAlignment="1" applyProtection="1">
      <alignment horizontal="center" vertical="center"/>
    </xf>
    <xf numFmtId="2" fontId="1" fillId="0" borderId="3" xfId="0" applyNumberFormat="1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left" vertical="center"/>
    </xf>
    <xf numFmtId="2" fontId="57" fillId="0" borderId="3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left" vertical="center"/>
    </xf>
    <xf numFmtId="0" fontId="42" fillId="0" borderId="0" xfId="0" applyFont="1" applyBorder="1" applyAlignment="1" applyProtection="1">
      <alignment vertical="center"/>
    </xf>
    <xf numFmtId="0" fontId="8" fillId="0" borderId="3" xfId="0" applyFont="1" applyBorder="1" applyAlignment="1" applyProtection="1">
      <alignment horizontal="center" vertical="center"/>
    </xf>
    <xf numFmtId="0" fontId="8" fillId="0" borderId="3" xfId="0" applyFont="1" applyBorder="1" applyAlignment="1" applyProtection="1">
      <alignment horizontal="center" vertical="center" wrapText="1"/>
    </xf>
    <xf numFmtId="167" fontId="37" fillId="0" borderId="3" xfId="0" applyNumberFormat="1" applyFont="1" applyBorder="1" applyAlignment="1" applyProtection="1">
      <alignment horizontal="center" vertical="center"/>
    </xf>
    <xf numFmtId="0" fontId="0" fillId="0" borderId="10" xfId="0" applyFont="1" applyFill="1" applyBorder="1" applyAlignment="1" applyProtection="1">
      <alignment horizontal="center" vertical="center"/>
    </xf>
    <xf numFmtId="168" fontId="37" fillId="0" borderId="10" xfId="0" applyNumberFormat="1" applyFont="1" applyFill="1" applyBorder="1" applyAlignment="1" applyProtection="1">
      <alignment horizontal="center" vertical="center"/>
    </xf>
    <xf numFmtId="167" fontId="0" fillId="12" borderId="3" xfId="0" applyNumberFormat="1" applyFill="1" applyBorder="1" applyProtection="1"/>
    <xf numFmtId="167" fontId="0" fillId="15" borderId="3" xfId="0" applyNumberFormat="1" applyFill="1" applyBorder="1" applyProtection="1"/>
    <xf numFmtId="167" fontId="8" fillId="0" borderId="3" xfId="0" applyNumberFormat="1" applyFont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14" fontId="8" fillId="0" borderId="0" xfId="0" applyNumberFormat="1" applyFont="1" applyBorder="1" applyAlignment="1" applyProtection="1">
      <alignment horizontal="center" vertical="center"/>
    </xf>
    <xf numFmtId="167" fontId="0" fillId="0" borderId="3" xfId="0" applyNumberFormat="1" applyBorder="1" applyAlignment="1" applyProtection="1">
      <alignment horizontal="center" vertical="center"/>
    </xf>
    <xf numFmtId="14" fontId="8" fillId="0" borderId="3" xfId="0" applyNumberFormat="1" applyFont="1" applyBorder="1" applyAlignment="1" applyProtection="1">
      <alignment horizontal="center" vertical="center"/>
    </xf>
    <xf numFmtId="14" fontId="8" fillId="0" borderId="10" xfId="0" applyNumberFormat="1" applyFont="1" applyBorder="1" applyAlignment="1" applyProtection="1">
      <alignment horizontal="center" vertical="center"/>
    </xf>
    <xf numFmtId="168" fontId="37" fillId="0" borderId="10" xfId="0" applyNumberFormat="1" applyFont="1" applyBorder="1" applyAlignment="1" applyProtection="1">
      <alignment horizontal="center" vertical="center"/>
    </xf>
    <xf numFmtId="167" fontId="0" fillId="0" borderId="3" xfId="0" applyNumberFormat="1" applyBorder="1" applyProtection="1"/>
    <xf numFmtId="0" fontId="0" fillId="0" borderId="0" xfId="0" applyNumberFormat="1" applyProtection="1"/>
    <xf numFmtId="0" fontId="67" fillId="4" borderId="3" xfId="0" applyFont="1" applyFill="1" applyBorder="1" applyProtection="1"/>
    <xf numFmtId="0" fontId="67" fillId="4" borderId="3" xfId="0" applyNumberFormat="1" applyFont="1" applyFill="1" applyBorder="1" applyAlignment="1" applyProtection="1">
      <alignment horizontal="center" vertical="center"/>
    </xf>
    <xf numFmtId="0" fontId="67" fillId="4" borderId="3" xfId="0" applyFont="1" applyFill="1" applyBorder="1" applyAlignment="1" applyProtection="1">
      <alignment horizontal="center" vertical="center"/>
    </xf>
    <xf numFmtId="0" fontId="67" fillId="0" borderId="9" xfId="0" applyFont="1" applyBorder="1" applyProtection="1"/>
    <xf numFmtId="0" fontId="67" fillId="0" borderId="14" xfId="0" applyFont="1" applyBorder="1" applyProtection="1"/>
    <xf numFmtId="165" fontId="67" fillId="0" borderId="14" xfId="0" applyNumberFormat="1" applyFont="1" applyBorder="1" applyProtection="1"/>
    <xf numFmtId="166" fontId="67" fillId="0" borderId="0" xfId="0" applyNumberFormat="1" applyFont="1" applyAlignment="1" applyProtection="1">
      <alignment horizontal="center" vertical="center"/>
    </xf>
    <xf numFmtId="166" fontId="67" fillId="0" borderId="14" xfId="0" applyNumberFormat="1" applyFont="1" applyBorder="1" applyProtection="1"/>
    <xf numFmtId="0" fontId="101" fillId="0" borderId="12" xfId="12" applyFont="1" applyBorder="1" applyAlignment="1" applyProtection="1"/>
    <xf numFmtId="0" fontId="67" fillId="0" borderId="1" xfId="0" applyFont="1" applyBorder="1" applyProtection="1"/>
    <xf numFmtId="166" fontId="67" fillId="0" borderId="0" xfId="0" applyNumberFormat="1" applyFont="1" applyBorder="1" applyProtection="1"/>
    <xf numFmtId="0" fontId="67" fillId="0" borderId="2" xfId="0" applyFont="1" applyBorder="1" applyProtection="1"/>
    <xf numFmtId="0" fontId="101" fillId="0" borderId="0" xfId="12" applyFont="1" applyAlignment="1" applyProtection="1"/>
    <xf numFmtId="0" fontId="18" fillId="0" borderId="1" xfId="0" applyFont="1" applyBorder="1" applyAlignment="1" applyProtection="1">
      <alignment horizontal="left" wrapText="1"/>
    </xf>
    <xf numFmtId="0" fontId="17" fillId="0" borderId="11" xfId="0" applyNumberFormat="1" applyFont="1" applyBorder="1" applyAlignment="1" applyProtection="1">
      <alignment horizontal="center"/>
    </xf>
    <xf numFmtId="0" fontId="17" fillId="0" borderId="4" xfId="0" applyNumberFormat="1" applyFont="1" applyBorder="1" applyAlignment="1" applyProtection="1">
      <alignment horizontal="center"/>
    </xf>
    <xf numFmtId="0" fontId="52" fillId="0" borderId="8" xfId="0" applyFont="1" applyBorder="1" applyAlignment="1" applyProtection="1">
      <alignment horizontal="center"/>
    </xf>
    <xf numFmtId="0" fontId="52" fillId="0" borderId="11" xfId="0" applyFont="1" applyBorder="1" applyAlignment="1" applyProtection="1">
      <alignment horizontal="center"/>
    </xf>
    <xf numFmtId="0" fontId="52" fillId="0" borderId="7" xfId="0" applyFont="1" applyBorder="1" applyAlignment="1" applyProtection="1">
      <alignment horizontal="center"/>
    </xf>
    <xf numFmtId="7" fontId="19" fillId="0" borderId="9" xfId="1" applyNumberFormat="1" applyFont="1" applyBorder="1" applyAlignment="1" applyProtection="1">
      <alignment horizontal="center" vertical="center"/>
    </xf>
    <xf numFmtId="7" fontId="19" fillId="0" borderId="14" xfId="1" applyNumberFormat="1" applyFont="1" applyBorder="1" applyAlignment="1" applyProtection="1">
      <alignment horizontal="center" vertical="center"/>
    </xf>
    <xf numFmtId="7" fontId="19" fillId="0" borderId="12" xfId="1" applyNumberFormat="1" applyFont="1" applyBorder="1" applyAlignment="1" applyProtection="1">
      <alignment horizontal="center" vertical="center"/>
    </xf>
    <xf numFmtId="7" fontId="19" fillId="0" borderId="4" xfId="1" applyNumberFormat="1" applyFont="1" applyBorder="1" applyAlignment="1" applyProtection="1">
      <alignment horizontal="center" vertical="center"/>
    </xf>
    <xf numFmtId="7" fontId="19" fillId="0" borderId="5" xfId="1" applyNumberFormat="1" applyFont="1" applyBorder="1" applyAlignment="1" applyProtection="1">
      <alignment horizontal="center" vertical="center"/>
    </xf>
    <xf numFmtId="7" fontId="19" fillId="0" borderId="6" xfId="1" applyNumberFormat="1" applyFont="1" applyBorder="1" applyAlignment="1" applyProtection="1">
      <alignment horizontal="center" vertical="center"/>
    </xf>
    <xf numFmtId="4" fontId="17" fillId="0" borderId="1" xfId="0" applyNumberFormat="1" applyFont="1" applyBorder="1" applyAlignment="1" applyProtection="1">
      <alignment horizontal="center"/>
    </xf>
    <xf numFmtId="4" fontId="17" fillId="0" borderId="2" xfId="0" applyNumberFormat="1" applyFont="1" applyBorder="1" applyAlignment="1" applyProtection="1">
      <alignment horizontal="center"/>
    </xf>
    <xf numFmtId="0" fontId="18" fillId="0" borderId="4" xfId="0" applyFont="1" applyBorder="1" applyAlignment="1" applyProtection="1">
      <alignment horizontal="left"/>
    </xf>
    <xf numFmtId="0" fontId="18" fillId="0" borderId="5" xfId="0" applyFont="1" applyBorder="1" applyAlignment="1" applyProtection="1">
      <alignment horizontal="left"/>
    </xf>
    <xf numFmtId="0" fontId="18" fillId="0" borderId="6" xfId="0" applyFont="1" applyBorder="1" applyAlignment="1" applyProtection="1">
      <alignment horizontal="left"/>
    </xf>
    <xf numFmtId="0" fontId="18" fillId="0" borderId="1" xfId="0" applyFont="1" applyBorder="1" applyAlignment="1" applyProtection="1">
      <alignment horizontal="left"/>
    </xf>
    <xf numFmtId="0" fontId="18" fillId="0" borderId="0" xfId="0" applyFont="1" applyBorder="1" applyAlignment="1" applyProtection="1">
      <alignment horizontal="left"/>
    </xf>
    <xf numFmtId="0" fontId="18" fillId="0" borderId="2" xfId="0" applyFont="1" applyBorder="1" applyAlignment="1" applyProtection="1">
      <alignment horizontal="left"/>
    </xf>
    <xf numFmtId="0" fontId="18" fillId="0" borderId="1" xfId="0" applyFont="1" applyBorder="1" applyProtection="1"/>
    <xf numFmtId="0" fontId="18" fillId="0" borderId="0" xfId="0" applyFont="1" applyBorder="1" applyProtection="1"/>
    <xf numFmtId="0" fontId="18" fillId="0" borderId="2" xfId="0" applyFont="1" applyBorder="1" applyProtection="1"/>
    <xf numFmtId="0" fontId="11" fillId="17" borderId="3" xfId="0" applyFont="1" applyFill="1" applyBorder="1" applyAlignment="1" applyProtection="1">
      <alignment horizontal="center"/>
    </xf>
    <xf numFmtId="0" fontId="11" fillId="17" borderId="10" xfId="0" applyFont="1" applyFill="1" applyBorder="1" applyAlignment="1" applyProtection="1">
      <alignment horizontal="center"/>
    </xf>
    <xf numFmtId="7" fontId="17" fillId="0" borderId="3" xfId="1" applyNumberFormat="1" applyFont="1" applyBorder="1" applyAlignment="1" applyProtection="1">
      <alignment horizontal="center" vertical="center"/>
    </xf>
    <xf numFmtId="7" fontId="17" fillId="0" borderId="10" xfId="1" applyNumberFormat="1" applyFont="1" applyBorder="1" applyAlignment="1" applyProtection="1">
      <alignment horizontal="center" vertical="center"/>
    </xf>
    <xf numFmtId="0" fontId="43" fillId="13" borderId="4" xfId="0" applyFont="1" applyFill="1" applyBorder="1" applyAlignment="1" applyProtection="1">
      <alignment horizontal="left"/>
    </xf>
    <xf numFmtId="0" fontId="43" fillId="13" borderId="5" xfId="0" applyFont="1" applyFill="1" applyBorder="1" applyAlignment="1" applyProtection="1">
      <alignment horizontal="left"/>
    </xf>
    <xf numFmtId="0" fontId="43" fillId="13" borderId="6" xfId="0" applyFont="1" applyFill="1" applyBorder="1" applyAlignment="1" applyProtection="1">
      <alignment horizontal="left"/>
    </xf>
    <xf numFmtId="14" fontId="20" fillId="0" borderId="0" xfId="0" applyNumberFormat="1" applyFont="1" applyAlignment="1" applyProtection="1">
      <alignment horizontal="left"/>
    </xf>
    <xf numFmtId="0" fontId="18" fillId="0" borderId="9" xfId="0" applyFont="1" applyBorder="1" applyAlignment="1" applyProtection="1">
      <alignment shrinkToFit="1"/>
    </xf>
    <xf numFmtId="0" fontId="18" fillId="0" borderId="14" xfId="0" applyFont="1" applyBorder="1" applyAlignment="1" applyProtection="1">
      <alignment shrinkToFit="1"/>
    </xf>
    <xf numFmtId="0" fontId="18" fillId="0" borderId="12" xfId="0" applyFont="1" applyBorder="1" applyAlignment="1" applyProtection="1">
      <alignment shrinkToFit="1"/>
    </xf>
    <xf numFmtId="0" fontId="27" fillId="0" borderId="0" xfId="0" applyFont="1" applyBorder="1" applyAlignment="1" applyProtection="1">
      <alignment horizontal="right"/>
    </xf>
    <xf numFmtId="0" fontId="27" fillId="0" borderId="0" xfId="0" applyNumberFormat="1" applyFont="1" applyBorder="1" applyAlignment="1" applyProtection="1">
      <alignment horizontal="left" wrapText="1"/>
    </xf>
    <xf numFmtId="0" fontId="8" fillId="0" borderId="10" xfId="0" applyFont="1" applyBorder="1" applyAlignment="1" applyProtection="1">
      <alignment horizontal="left"/>
    </xf>
    <xf numFmtId="0" fontId="8" fillId="0" borderId="15" xfId="0" applyFont="1" applyBorder="1" applyAlignment="1" applyProtection="1">
      <alignment horizontal="left"/>
    </xf>
    <xf numFmtId="0" fontId="8" fillId="0" borderId="13" xfId="0" applyFont="1" applyBorder="1" applyAlignment="1" applyProtection="1">
      <alignment horizontal="left"/>
    </xf>
    <xf numFmtId="0" fontId="8" fillId="0" borderId="9" xfId="0" applyFont="1" applyBorder="1" applyAlignment="1" applyProtection="1">
      <alignment horizontal="left"/>
    </xf>
    <xf numFmtId="0" fontId="8" fillId="0" borderId="14" xfId="0" applyFont="1" applyBorder="1" applyAlignment="1" applyProtection="1">
      <alignment horizontal="left"/>
    </xf>
    <xf numFmtId="0" fontId="8" fillId="0" borderId="12" xfId="0" applyFont="1" applyBorder="1" applyAlignment="1" applyProtection="1">
      <alignment horizontal="left"/>
    </xf>
    <xf numFmtId="14" fontId="8" fillId="0" borderId="10" xfId="0" applyNumberFormat="1" applyFont="1" applyBorder="1" applyAlignment="1" applyProtection="1">
      <alignment horizontal="left"/>
    </xf>
    <xf numFmtId="14" fontId="8" fillId="0" borderId="15" xfId="0" applyNumberFormat="1" applyFont="1" applyBorder="1" applyAlignment="1" applyProtection="1">
      <alignment horizontal="left"/>
    </xf>
    <xf numFmtId="14" fontId="8" fillId="0" borderId="13" xfId="0" applyNumberFormat="1" applyFont="1" applyBorder="1" applyAlignment="1" applyProtection="1">
      <alignment horizontal="left"/>
    </xf>
    <xf numFmtId="0" fontId="39" fillId="0" borderId="9" xfId="0" applyFont="1" applyBorder="1" applyAlignment="1" applyProtection="1">
      <alignment horizontal="left"/>
    </xf>
    <xf numFmtId="0" fontId="39" fillId="0" borderId="14" xfId="0" applyFont="1" applyBorder="1" applyAlignment="1" applyProtection="1">
      <alignment horizontal="left"/>
    </xf>
    <xf numFmtId="0" fontId="39" fillId="0" borderId="12" xfId="0" applyFont="1" applyBorder="1" applyAlignment="1" applyProtection="1">
      <alignment horizontal="left"/>
    </xf>
    <xf numFmtId="2" fontId="27" fillId="0" borderId="0" xfId="0" applyNumberFormat="1" applyFont="1" applyBorder="1" applyAlignment="1" applyProtection="1">
      <alignment horizontal="right"/>
    </xf>
    <xf numFmtId="0" fontId="63" fillId="13" borderId="8" xfId="0" applyFont="1" applyFill="1" applyBorder="1" applyAlignment="1" applyProtection="1">
      <alignment horizontal="center" vertical="center"/>
    </xf>
    <xf numFmtId="0" fontId="63" fillId="13" borderId="7" xfId="0" applyFont="1" applyFill="1" applyBorder="1" applyAlignment="1" applyProtection="1">
      <alignment horizontal="center" vertical="center"/>
    </xf>
    <xf numFmtId="0" fontId="29" fillId="0" borderId="0" xfId="0" applyFont="1" applyAlignment="1" applyProtection="1">
      <alignment horizontal="center"/>
    </xf>
    <xf numFmtId="4" fontId="17" fillId="0" borderId="6" xfId="0" applyNumberFormat="1" applyFont="1" applyBorder="1" applyAlignment="1" applyProtection="1">
      <alignment horizontal="center"/>
    </xf>
    <xf numFmtId="4" fontId="17" fillId="0" borderId="4" xfId="0" applyNumberFormat="1" applyFont="1" applyBorder="1" applyAlignment="1" applyProtection="1">
      <alignment horizontal="center"/>
    </xf>
    <xf numFmtId="4" fontId="17" fillId="0" borderId="0" xfId="0" applyNumberFormat="1" applyFont="1" applyBorder="1" applyAlignment="1" applyProtection="1">
      <alignment horizontal="center"/>
    </xf>
    <xf numFmtId="0" fontId="17" fillId="13" borderId="0" xfId="0" applyFont="1" applyFill="1" applyBorder="1" applyAlignment="1" applyProtection="1">
      <alignment horizontal="right"/>
    </xf>
    <xf numFmtId="0" fontId="5" fillId="0" borderId="9" xfId="0" applyFont="1" applyBorder="1" applyAlignment="1" applyProtection="1">
      <alignment horizontal="center" vertical="top"/>
    </xf>
    <xf numFmtId="0" fontId="5" fillId="0" borderId="14" xfId="0" applyFont="1" applyBorder="1" applyAlignment="1" applyProtection="1">
      <alignment horizontal="center" vertical="top"/>
    </xf>
    <xf numFmtId="0" fontId="5" fillId="0" borderId="12" xfId="0" applyFont="1" applyBorder="1" applyAlignment="1" applyProtection="1">
      <alignment horizontal="center" vertical="top"/>
    </xf>
    <xf numFmtId="0" fontId="17" fillId="0" borderId="0" xfId="0" applyFont="1" applyAlignment="1" applyProtection="1">
      <alignment horizontal="center"/>
    </xf>
    <xf numFmtId="0" fontId="35" fillId="0" borderId="0" xfId="0" applyFont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0" fillId="0" borderId="9" xfId="0" applyFont="1" applyBorder="1" applyAlignment="1" applyProtection="1">
      <alignment horizontal="center" vertical="center"/>
    </xf>
    <xf numFmtId="0" fontId="10" fillId="0" borderId="12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10" fillId="0" borderId="6" xfId="0" applyFont="1" applyBorder="1" applyAlignment="1" applyProtection="1">
      <alignment horizontal="center" vertical="center"/>
    </xf>
    <xf numFmtId="0" fontId="10" fillId="0" borderId="14" xfId="0" applyFont="1" applyBorder="1" applyAlignment="1" applyProtection="1">
      <alignment horizontal="center" vertical="center"/>
    </xf>
    <xf numFmtId="0" fontId="10" fillId="0" borderId="5" xfId="0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wrapText="1"/>
    </xf>
    <xf numFmtId="0" fontId="9" fillId="0" borderId="7" xfId="0" applyFont="1" applyBorder="1" applyAlignment="1" applyProtection="1">
      <alignment horizontal="center" wrapText="1"/>
    </xf>
    <xf numFmtId="4" fontId="0" fillId="0" borderId="0" xfId="0" applyNumberFormat="1" applyBorder="1" applyAlignment="1" applyProtection="1">
      <alignment horizontal="center"/>
    </xf>
    <xf numFmtId="4" fontId="17" fillId="0" borderId="12" xfId="0" applyNumberFormat="1" applyFont="1" applyBorder="1" applyAlignment="1" applyProtection="1">
      <alignment horizontal="center"/>
    </xf>
    <xf numFmtId="4" fontId="17" fillId="0" borderId="9" xfId="0" applyNumberFormat="1" applyFont="1" applyBorder="1" applyAlignment="1" applyProtection="1">
      <alignment horizontal="center"/>
    </xf>
    <xf numFmtId="0" fontId="50" fillId="0" borderId="10" xfId="0" applyFont="1" applyBorder="1" applyAlignment="1" applyProtection="1">
      <alignment horizontal="center"/>
    </xf>
    <xf numFmtId="0" fontId="50" fillId="0" borderId="13" xfId="0" applyFont="1" applyBorder="1" applyAlignment="1" applyProtection="1">
      <alignment horizontal="center"/>
    </xf>
    <xf numFmtId="0" fontId="51" fillId="0" borderId="10" xfId="0" applyFont="1" applyBorder="1" applyAlignment="1" applyProtection="1">
      <alignment horizontal="center"/>
    </xf>
    <xf numFmtId="0" fontId="51" fillId="0" borderId="13" xfId="0" applyFont="1" applyBorder="1" applyAlignment="1" applyProtection="1">
      <alignment horizontal="center"/>
    </xf>
    <xf numFmtId="0" fontId="33" fillId="0" borderId="1" xfId="0" applyFont="1" applyBorder="1" applyAlignment="1" applyProtection="1"/>
    <xf numFmtId="0" fontId="33" fillId="0" borderId="0" xfId="0" applyFont="1" applyBorder="1" applyAlignment="1" applyProtection="1"/>
    <xf numFmtId="0" fontId="33" fillId="0" borderId="2" xfId="0" applyFont="1" applyBorder="1" applyAlignment="1" applyProtection="1"/>
    <xf numFmtId="0" fontId="40" fillId="0" borderId="1" xfId="0" applyFont="1" applyBorder="1" applyAlignment="1" applyProtection="1">
      <alignment horizontal="right"/>
    </xf>
    <xf numFmtId="0" fontId="40" fillId="0" borderId="0" xfId="0" applyFont="1" applyBorder="1" applyAlignment="1" applyProtection="1">
      <alignment horizontal="right"/>
    </xf>
    <xf numFmtId="0" fontId="40" fillId="0" borderId="2" xfId="0" applyFont="1" applyBorder="1" applyAlignment="1" applyProtection="1">
      <alignment horizontal="right"/>
    </xf>
    <xf numFmtId="0" fontId="44" fillId="0" borderId="5" xfId="0" applyFont="1" applyBorder="1" applyAlignment="1" applyProtection="1">
      <alignment horizontal="center"/>
    </xf>
    <xf numFmtId="0" fontId="44" fillId="0" borderId="6" xfId="0" applyFont="1" applyBorder="1" applyAlignment="1" applyProtection="1">
      <alignment horizontal="center"/>
    </xf>
    <xf numFmtId="0" fontId="49" fillId="13" borderId="10" xfId="0" applyNumberFormat="1" applyFont="1" applyFill="1" applyBorder="1" applyAlignment="1" applyProtection="1">
      <alignment horizontal="center"/>
    </xf>
    <xf numFmtId="0" fontId="49" fillId="13" borderId="13" xfId="0" applyNumberFormat="1" applyFont="1" applyFill="1" applyBorder="1" applyAlignment="1" applyProtection="1">
      <alignment horizontal="center"/>
    </xf>
    <xf numFmtId="0" fontId="18" fillId="0" borderId="1" xfId="15" applyFont="1" applyBorder="1" applyProtection="1"/>
    <xf numFmtId="0" fontId="18" fillId="0" borderId="0" xfId="15" applyFont="1" applyBorder="1" applyProtection="1"/>
    <xf numFmtId="0" fontId="18" fillId="0" borderId="2" xfId="15" applyFont="1" applyBorder="1" applyProtection="1"/>
    <xf numFmtId="167" fontId="17" fillId="0" borderId="0" xfId="0" applyNumberFormat="1" applyFont="1" applyAlignment="1" applyProtection="1">
      <alignment horizontal="left"/>
    </xf>
    <xf numFmtId="0" fontId="0" fillId="0" borderId="15" xfId="0" applyBorder="1" applyProtection="1"/>
    <xf numFmtId="0" fontId="0" fillId="0" borderId="13" xfId="0" applyBorder="1" applyProtection="1"/>
    <xf numFmtId="0" fontId="44" fillId="0" borderId="3" xfId="0" applyFont="1" applyBorder="1" applyAlignment="1" applyProtection="1">
      <alignment horizontal="center"/>
    </xf>
    <xf numFmtId="0" fontId="27" fillId="0" borderId="0" xfId="0" applyNumberFormat="1" applyFont="1" applyBorder="1" applyAlignment="1" applyProtection="1">
      <alignment horizontal="left"/>
    </xf>
    <xf numFmtId="0" fontId="49" fillId="13" borderId="3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0" fontId="42" fillId="0" borderId="5" xfId="0" applyFont="1" applyBorder="1" applyAlignment="1" applyProtection="1">
      <alignment horizontal="center" vertical="center"/>
    </xf>
    <xf numFmtId="2" fontId="0" fillId="12" borderId="1" xfId="0" applyNumberFormat="1" applyFill="1" applyBorder="1" applyAlignment="1" applyProtection="1">
      <alignment horizontal="center" vertical="center"/>
    </xf>
    <xf numFmtId="2" fontId="0" fillId="12" borderId="42" xfId="0" applyNumberFormat="1" applyFill="1" applyBorder="1" applyAlignment="1" applyProtection="1">
      <alignment horizontal="center" vertical="center"/>
    </xf>
    <xf numFmtId="2" fontId="0" fillId="12" borderId="4" xfId="0" applyNumberFormat="1" applyFill="1" applyBorder="1" applyAlignment="1" applyProtection="1">
      <alignment horizontal="center" vertical="center"/>
    </xf>
    <xf numFmtId="2" fontId="0" fillId="12" borderId="54" xfId="0" applyNumberFormat="1" applyFill="1" applyBorder="1" applyAlignment="1" applyProtection="1">
      <alignment horizontal="center" vertical="center"/>
    </xf>
    <xf numFmtId="2" fontId="55" fillId="14" borderId="24" xfId="0" applyNumberFormat="1" applyFont="1" applyFill="1" applyBorder="1" applyAlignment="1">
      <alignment horizontal="center" vertical="center"/>
    </xf>
    <xf numFmtId="2" fontId="55" fillId="14" borderId="3" xfId="0" applyNumberFormat="1" applyFont="1" applyFill="1" applyBorder="1" applyAlignment="1">
      <alignment horizontal="center" vertical="center"/>
    </xf>
    <xf numFmtId="170" fontId="0" fillId="10" borderId="9" xfId="0" applyNumberFormat="1" applyFill="1" applyBorder="1" applyAlignment="1" applyProtection="1">
      <alignment horizontal="center" vertical="center"/>
    </xf>
    <xf numFmtId="170" fontId="0" fillId="10" borderId="55" xfId="0" applyNumberFormat="1" applyFill="1" applyBorder="1" applyAlignment="1" applyProtection="1">
      <alignment horizontal="center" vertical="center"/>
    </xf>
    <xf numFmtId="170" fontId="0" fillId="10" borderId="4" xfId="0" applyNumberFormat="1" applyFill="1" applyBorder="1" applyAlignment="1" applyProtection="1">
      <alignment horizontal="center" vertical="center"/>
    </xf>
    <xf numFmtId="170" fontId="0" fillId="10" borderId="54" xfId="0" applyNumberFormat="1" applyFill="1" applyBorder="1" applyAlignment="1" applyProtection="1">
      <alignment horizontal="center" vertical="center"/>
    </xf>
    <xf numFmtId="0" fontId="1" fillId="10" borderId="35" xfId="0" applyFont="1" applyFill="1" applyBorder="1" applyAlignment="1" applyProtection="1">
      <alignment horizontal="center" vertical="center"/>
    </xf>
    <xf numFmtId="0" fontId="1" fillId="10" borderId="30" xfId="0" applyFont="1" applyFill="1" applyBorder="1" applyAlignment="1" applyProtection="1">
      <alignment horizontal="center" vertical="center"/>
    </xf>
    <xf numFmtId="0" fontId="19" fillId="10" borderId="8" xfId="0" applyFont="1" applyFill="1" applyBorder="1" applyAlignment="1" applyProtection="1">
      <alignment horizontal="center" vertical="center"/>
      <protection locked="0"/>
    </xf>
    <xf numFmtId="0" fontId="19" fillId="10" borderId="7" xfId="0" applyFont="1" applyFill="1" applyBorder="1" applyAlignment="1" applyProtection="1">
      <alignment horizontal="center" vertical="center"/>
      <protection locked="0"/>
    </xf>
    <xf numFmtId="170" fontId="0" fillId="10" borderId="56" xfId="0" applyNumberFormat="1" applyFill="1" applyBorder="1" applyAlignment="1" applyProtection="1">
      <alignment horizontal="center" vertical="center"/>
    </xf>
    <xf numFmtId="170" fontId="0" fillId="10" borderId="41" xfId="0" applyNumberFormat="1" applyFill="1" applyBorder="1" applyAlignment="1" applyProtection="1">
      <alignment horizontal="center" vertical="center"/>
    </xf>
    <xf numFmtId="0" fontId="66" fillId="12" borderId="20" xfId="0" applyFont="1" applyFill="1" applyBorder="1" applyAlignment="1" applyProtection="1">
      <alignment horizontal="center" vertical="center"/>
    </xf>
    <xf numFmtId="0" fontId="66" fillId="12" borderId="23" xfId="0" applyFont="1" applyFill="1" applyBorder="1" applyAlignment="1" applyProtection="1">
      <alignment horizontal="center" vertical="center"/>
    </xf>
    <xf numFmtId="0" fontId="66" fillId="12" borderId="29" xfId="0" applyFont="1" applyFill="1" applyBorder="1" applyAlignment="1" applyProtection="1">
      <alignment horizontal="center" vertical="center"/>
    </xf>
    <xf numFmtId="0" fontId="66" fillId="12" borderId="28" xfId="0" applyFont="1" applyFill="1" applyBorder="1" applyAlignment="1" applyProtection="1">
      <alignment horizontal="center" vertical="center"/>
    </xf>
    <xf numFmtId="2" fontId="0" fillId="12" borderId="7" xfId="0" applyNumberFormat="1" applyFill="1" applyBorder="1" applyAlignment="1" applyProtection="1">
      <alignment horizontal="center" vertical="center"/>
    </xf>
    <xf numFmtId="2" fontId="0" fillId="12" borderId="31" xfId="0" applyNumberFormat="1" applyFill="1" applyBorder="1" applyAlignment="1" applyProtection="1">
      <alignment horizontal="center" vertical="center"/>
    </xf>
    <xf numFmtId="2" fontId="0" fillId="12" borderId="3" xfId="0" applyNumberFormat="1" applyFill="1" applyBorder="1" applyAlignment="1" applyProtection="1">
      <alignment horizontal="center" vertical="center"/>
    </xf>
    <xf numFmtId="2" fontId="0" fillId="12" borderId="25" xfId="0" applyNumberFormat="1" applyFill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center" vertical="center"/>
    </xf>
    <xf numFmtId="2" fontId="0" fillId="14" borderId="10" xfId="0" applyNumberFormat="1" applyFill="1" applyBorder="1" applyAlignment="1" applyProtection="1">
      <alignment horizontal="center" vertical="center"/>
    </xf>
    <xf numFmtId="2" fontId="0" fillId="14" borderId="13" xfId="0" applyNumberFormat="1" applyFill="1" applyBorder="1" applyAlignment="1" applyProtection="1">
      <alignment horizontal="center" vertical="center"/>
    </xf>
    <xf numFmtId="2" fontId="0" fillId="12" borderId="10" xfId="0" applyNumberFormat="1" applyFill="1" applyBorder="1" applyAlignment="1" applyProtection="1">
      <alignment horizontal="center" vertical="center"/>
    </xf>
    <xf numFmtId="2" fontId="0" fillId="12" borderId="13" xfId="0" applyNumberFormat="1" applyFill="1" applyBorder="1" applyAlignment="1" applyProtection="1">
      <alignment horizontal="center" vertical="center"/>
    </xf>
    <xf numFmtId="2" fontId="1" fillId="10" borderId="9" xfId="0" applyNumberFormat="1" applyFont="1" applyFill="1" applyBorder="1" applyAlignment="1" applyProtection="1">
      <alignment horizontal="center" vertical="center"/>
    </xf>
    <xf numFmtId="2" fontId="1" fillId="10" borderId="12" xfId="0" applyNumberFormat="1" applyFont="1" applyFill="1" applyBorder="1" applyAlignment="1" applyProtection="1">
      <alignment horizontal="center" vertical="center"/>
    </xf>
    <xf numFmtId="2" fontId="1" fillId="10" borderId="4" xfId="0" applyNumberFormat="1" applyFont="1" applyFill="1" applyBorder="1" applyAlignment="1" applyProtection="1">
      <alignment horizontal="center" vertical="center"/>
    </xf>
    <xf numFmtId="2" fontId="1" fillId="10" borderId="6" xfId="0" applyNumberFormat="1" applyFont="1" applyFill="1" applyBorder="1" applyAlignment="1" applyProtection="1">
      <alignment horizontal="center" vertical="center"/>
    </xf>
    <xf numFmtId="2" fontId="1" fillId="10" borderId="3" xfId="0" applyNumberFormat="1" applyFont="1" applyFill="1" applyBorder="1" applyAlignment="1" applyProtection="1">
      <alignment horizontal="center" vertical="center"/>
    </xf>
    <xf numFmtId="0" fontId="64" fillId="10" borderId="14" xfId="0" applyFont="1" applyFill="1" applyBorder="1" applyAlignment="1" applyProtection="1">
      <alignment horizontal="left" vertical="center"/>
      <protection locked="0"/>
    </xf>
    <xf numFmtId="0" fontId="64" fillId="10" borderId="12" xfId="0" applyFont="1" applyFill="1" applyBorder="1" applyAlignment="1" applyProtection="1">
      <alignment horizontal="left" vertical="center"/>
      <protection locked="0"/>
    </xf>
    <xf numFmtId="0" fontId="64" fillId="10" borderId="5" xfId="0" applyFont="1" applyFill="1" applyBorder="1" applyAlignment="1" applyProtection="1">
      <alignment horizontal="left" vertical="center"/>
      <protection locked="0"/>
    </xf>
    <xf numFmtId="0" fontId="64" fillId="10" borderId="6" xfId="0" applyFont="1" applyFill="1" applyBorder="1" applyAlignment="1" applyProtection="1">
      <alignment horizontal="left" vertical="center"/>
      <protection locked="0"/>
    </xf>
    <xf numFmtId="2" fontId="1" fillId="10" borderId="8" xfId="0" applyNumberFormat="1" applyFont="1" applyFill="1" applyBorder="1" applyAlignment="1" applyProtection="1">
      <alignment horizontal="center" vertical="center"/>
    </xf>
    <xf numFmtId="2" fontId="1" fillId="10" borderId="7" xfId="0" applyNumberFormat="1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center" vertical="center"/>
    </xf>
    <xf numFmtId="0" fontId="61" fillId="0" borderId="12" xfId="0" applyFont="1" applyBorder="1" applyAlignment="1" applyProtection="1">
      <alignment horizontal="center" vertical="center"/>
    </xf>
    <xf numFmtId="0" fontId="61" fillId="0" borderId="6" xfId="0" applyFont="1" applyBorder="1" applyAlignment="1" applyProtection="1">
      <alignment horizontal="center" vertical="center"/>
    </xf>
    <xf numFmtId="0" fontId="14" fillId="5" borderId="11" xfId="0" applyFont="1" applyFill="1" applyBorder="1" applyAlignment="1" applyProtection="1">
      <alignment horizontal="center" vertical="center"/>
    </xf>
    <xf numFmtId="0" fontId="14" fillId="5" borderId="7" xfId="0" applyFont="1" applyFill="1" applyBorder="1" applyAlignment="1" applyProtection="1">
      <alignment horizontal="center" vertical="center"/>
    </xf>
    <xf numFmtId="0" fontId="47" fillId="5" borderId="8" xfId="0" applyFont="1" applyFill="1" applyBorder="1" applyAlignment="1" applyProtection="1">
      <alignment horizontal="center" vertical="center"/>
    </xf>
    <xf numFmtId="0" fontId="47" fillId="5" borderId="7" xfId="0" applyFont="1" applyFill="1" applyBorder="1" applyAlignment="1" applyProtection="1">
      <alignment horizontal="center" vertical="center"/>
    </xf>
    <xf numFmtId="0" fontId="14" fillId="5" borderId="8" xfId="0" applyFont="1" applyFill="1" applyBorder="1" applyAlignment="1" applyProtection="1">
      <alignment horizontal="center" vertical="center"/>
    </xf>
    <xf numFmtId="0" fontId="53" fillId="18" borderId="16" xfId="0" applyFont="1" applyFill="1" applyBorder="1" applyAlignment="1" applyProtection="1">
      <alignment horizontal="center" vertical="center"/>
    </xf>
    <xf numFmtId="0" fontId="53" fillId="18" borderId="17" xfId="0" applyFont="1" applyFill="1" applyBorder="1" applyAlignment="1" applyProtection="1">
      <alignment horizontal="center" vertical="center"/>
    </xf>
    <xf numFmtId="0" fontId="53" fillId="18" borderId="18" xfId="0" applyFont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53" fillId="18" borderId="32" xfId="0" applyFont="1" applyFill="1" applyBorder="1" applyAlignment="1" applyProtection="1">
      <alignment horizontal="center" vertical="center"/>
    </xf>
    <xf numFmtId="0" fontId="53" fillId="18" borderId="33" xfId="0" applyFont="1" applyFill="1" applyBorder="1" applyAlignment="1" applyProtection="1">
      <alignment horizontal="center" vertical="center"/>
    </xf>
    <xf numFmtId="0" fontId="53" fillId="18" borderId="34" xfId="0" applyFont="1" applyFill="1" applyBorder="1" applyAlignment="1" applyProtection="1">
      <alignment horizontal="center" vertical="center"/>
    </xf>
    <xf numFmtId="170" fontId="1" fillId="19" borderId="9" xfId="0" applyNumberFormat="1" applyFont="1" applyFill="1" applyBorder="1" applyAlignment="1" applyProtection="1">
      <alignment horizontal="center" vertical="center"/>
    </xf>
    <xf numFmtId="170" fontId="1" fillId="19" borderId="12" xfId="0" applyNumberFormat="1" applyFont="1" applyFill="1" applyBorder="1" applyAlignment="1" applyProtection="1">
      <alignment horizontal="center" vertical="center"/>
    </xf>
    <xf numFmtId="170" fontId="1" fillId="19" borderId="4" xfId="0" applyNumberFormat="1" applyFont="1" applyFill="1" applyBorder="1" applyAlignment="1" applyProtection="1">
      <alignment horizontal="center" vertical="center"/>
    </xf>
    <xf numFmtId="170" fontId="1" fillId="19" borderId="6" xfId="0" applyNumberFormat="1" applyFont="1" applyFill="1" applyBorder="1" applyAlignment="1" applyProtection="1">
      <alignment horizontal="center" vertical="center"/>
    </xf>
    <xf numFmtId="0" fontId="64" fillId="10" borderId="14" xfId="0" applyFont="1" applyFill="1" applyBorder="1" applyAlignment="1" applyProtection="1">
      <alignment horizontal="right" vertical="center"/>
    </xf>
    <xf numFmtId="0" fontId="64" fillId="10" borderId="5" xfId="0" applyFont="1" applyFill="1" applyBorder="1" applyAlignment="1" applyProtection="1">
      <alignment horizontal="right" vertical="center"/>
    </xf>
    <xf numFmtId="0" fontId="1" fillId="10" borderId="38" xfId="0" applyFont="1" applyFill="1" applyBorder="1" applyAlignment="1" applyProtection="1">
      <alignment horizontal="center" vertical="center"/>
    </xf>
    <xf numFmtId="0" fontId="1" fillId="10" borderId="12" xfId="0" applyFont="1" applyFill="1" applyBorder="1" applyAlignment="1" applyProtection="1">
      <alignment horizontal="center" vertical="center"/>
    </xf>
    <xf numFmtId="0" fontId="1" fillId="10" borderId="39" xfId="0" applyFont="1" applyFill="1" applyBorder="1" applyAlignment="1" applyProtection="1">
      <alignment horizontal="center" vertical="center"/>
    </xf>
    <xf numFmtId="0" fontId="1" fillId="10" borderId="40" xfId="0" applyFont="1" applyFill="1" applyBorder="1" applyAlignment="1" applyProtection="1">
      <alignment horizontal="center" vertical="center"/>
    </xf>
    <xf numFmtId="0" fontId="66" fillId="14" borderId="19" xfId="0" applyFont="1" applyFill="1" applyBorder="1" applyAlignment="1" applyProtection="1">
      <alignment horizontal="center" vertical="center"/>
    </xf>
    <xf numFmtId="0" fontId="66" fillId="14" borderId="23" xfId="0" applyFont="1" applyFill="1" applyBorder="1" applyAlignment="1" applyProtection="1">
      <alignment horizontal="center" vertical="center"/>
    </xf>
    <xf numFmtId="0" fontId="66" fillId="14" borderId="26" xfId="0" applyFont="1" applyFill="1" applyBorder="1" applyAlignment="1" applyProtection="1">
      <alignment horizontal="center" vertical="center"/>
    </xf>
    <xf numFmtId="0" fontId="66" fillId="14" borderId="28" xfId="0" applyFont="1" applyFill="1" applyBorder="1" applyAlignment="1" applyProtection="1">
      <alignment horizontal="center" vertical="center"/>
    </xf>
    <xf numFmtId="2" fontId="55" fillId="14" borderId="30" xfId="0" applyNumberFormat="1" applyFont="1" applyFill="1" applyBorder="1" applyAlignment="1">
      <alignment horizontal="center" vertical="center"/>
    </xf>
    <xf numFmtId="2" fontId="55" fillId="14" borderId="7" xfId="0" applyNumberFormat="1" applyFont="1" applyFill="1" applyBorder="1" applyAlignment="1">
      <alignment horizontal="center" vertical="center"/>
    </xf>
    <xf numFmtId="0" fontId="0" fillId="10" borderId="12" xfId="0" applyFill="1" applyBorder="1" applyAlignment="1" applyProtection="1">
      <alignment horizontal="center" vertical="center"/>
    </xf>
    <xf numFmtId="0" fontId="0" fillId="10" borderId="37" xfId="0" applyFill="1" applyBorder="1" applyAlignment="1" applyProtection="1">
      <alignment horizontal="center" vertical="center"/>
    </xf>
    <xf numFmtId="0" fontId="0" fillId="10" borderId="6" xfId="0" applyFill="1" applyBorder="1" applyAlignment="1" applyProtection="1">
      <alignment horizontal="center" vertical="center"/>
    </xf>
    <xf numFmtId="0" fontId="1" fillId="10" borderId="37" xfId="0" applyFont="1" applyFill="1" applyBorder="1" applyAlignment="1" applyProtection="1">
      <alignment horizontal="center" vertical="center"/>
    </xf>
    <xf numFmtId="0" fontId="1" fillId="10" borderId="6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left" vertical="top"/>
    </xf>
    <xf numFmtId="0" fontId="1" fillId="0" borderId="0" xfId="0" applyFont="1" applyBorder="1" applyAlignment="1" applyProtection="1">
      <alignment horizontal="left" vertical="top"/>
    </xf>
    <xf numFmtId="2" fontId="14" fillId="16" borderId="10" xfId="0" applyNumberFormat="1" applyFont="1" applyFill="1" applyBorder="1" applyAlignment="1" applyProtection="1">
      <alignment horizontal="center" vertical="center"/>
    </xf>
    <xf numFmtId="2" fontId="14" fillId="16" borderId="13" xfId="0" applyNumberFormat="1" applyFont="1" applyFill="1" applyBorder="1" applyAlignment="1" applyProtection="1">
      <alignment horizontal="center" vertical="center"/>
    </xf>
    <xf numFmtId="0" fontId="14" fillId="0" borderId="10" xfId="0" applyFont="1" applyBorder="1" applyAlignment="1" applyProtection="1">
      <alignment horizontal="center" vertical="center"/>
    </xf>
    <xf numFmtId="0" fontId="14" fillId="0" borderId="13" xfId="0" applyFont="1" applyBorder="1" applyAlignment="1" applyProtection="1">
      <alignment horizontal="center" vertical="center"/>
    </xf>
    <xf numFmtId="0" fontId="14" fillId="10" borderId="10" xfId="0" applyFont="1" applyFill="1" applyBorder="1" applyAlignment="1" applyProtection="1">
      <alignment horizontal="center" vertical="center"/>
    </xf>
    <xf numFmtId="0" fontId="14" fillId="10" borderId="13" xfId="0" applyFont="1" applyFill="1" applyBorder="1" applyAlignment="1" applyProtection="1">
      <alignment horizontal="center" vertical="center"/>
    </xf>
    <xf numFmtId="0" fontId="9" fillId="10" borderId="3" xfId="0" applyFont="1" applyFill="1" applyBorder="1" applyAlignment="1" applyProtection="1">
      <alignment horizontal="center" vertical="center"/>
    </xf>
    <xf numFmtId="0" fontId="67" fillId="0" borderId="0" xfId="0" applyFont="1" applyAlignment="1" applyProtection="1">
      <alignment horizontal="center"/>
    </xf>
    <xf numFmtId="14" fontId="69" fillId="0" borderId="3" xfId="0" applyNumberFormat="1" applyFont="1" applyBorder="1" applyAlignment="1" applyProtection="1">
      <alignment horizontal="center" vertical="center"/>
    </xf>
    <xf numFmtId="0" fontId="67" fillId="0" borderId="3" xfId="0" applyFont="1" applyBorder="1" applyAlignment="1" applyProtection="1">
      <alignment horizontal="left" vertical="center"/>
    </xf>
    <xf numFmtId="0" fontId="68" fillId="0" borderId="1" xfId="0" applyFont="1" applyFill="1" applyBorder="1" applyAlignment="1" applyProtection="1">
      <alignment horizontal="center"/>
    </xf>
    <xf numFmtId="0" fontId="68" fillId="0" borderId="0" xfId="0" applyFont="1" applyFill="1" applyBorder="1" applyAlignment="1" applyProtection="1">
      <alignment horizontal="center"/>
    </xf>
    <xf numFmtId="0" fontId="67" fillId="0" borderId="10" xfId="0" applyFont="1" applyBorder="1" applyAlignment="1" applyProtection="1">
      <alignment horizontal="right" vertical="center"/>
    </xf>
    <xf numFmtId="0" fontId="67" fillId="0" borderId="13" xfId="0" applyFont="1" applyBorder="1" applyAlignment="1" applyProtection="1">
      <alignment horizontal="right" vertical="center"/>
    </xf>
    <xf numFmtId="0" fontId="67" fillId="5" borderId="10" xfId="0" applyFont="1" applyFill="1" applyBorder="1" applyAlignment="1" applyProtection="1">
      <alignment horizontal="center"/>
    </xf>
    <xf numFmtId="0" fontId="67" fillId="5" borderId="13" xfId="0" applyFont="1" applyFill="1" applyBorder="1" applyAlignment="1" applyProtection="1">
      <alignment horizontal="center"/>
    </xf>
    <xf numFmtId="0" fontId="67" fillId="0" borderId="3" xfId="0" applyFont="1" applyBorder="1" applyAlignment="1">
      <alignment horizontal="center" vertical="center" wrapText="1"/>
    </xf>
    <xf numFmtId="0" fontId="67" fillId="0" borderId="8" xfId="0" applyFont="1" applyBorder="1" applyAlignment="1">
      <alignment horizontal="center" vertical="center" wrapText="1"/>
    </xf>
    <xf numFmtId="0" fontId="67" fillId="0" borderId="10" xfId="0" applyFont="1" applyBorder="1" applyAlignment="1">
      <alignment horizontal="center" vertical="center" wrapText="1"/>
    </xf>
    <xf numFmtId="0" fontId="67" fillId="0" borderId="1" xfId="0" applyFont="1" applyBorder="1" applyAlignment="1">
      <alignment horizontal="right"/>
    </xf>
    <xf numFmtId="0" fontId="67" fillId="0" borderId="0" xfId="0" applyFont="1" applyBorder="1" applyAlignment="1">
      <alignment horizontal="right"/>
    </xf>
    <xf numFmtId="0" fontId="67" fillId="0" borderId="0" xfId="0" applyFont="1"/>
    <xf numFmtId="0" fontId="67" fillId="0" borderId="0" xfId="0" applyFont="1" applyAlignment="1">
      <alignment horizontal="right"/>
    </xf>
    <xf numFmtId="0" fontId="72" fillId="0" borderId="0" xfId="0" applyFont="1" applyFill="1" applyBorder="1" applyAlignment="1">
      <alignment horizontal="center" vertical="top"/>
    </xf>
    <xf numFmtId="0" fontId="72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center" vertical="center"/>
    </xf>
    <xf numFmtId="0" fontId="74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center" vertical="top"/>
    </xf>
    <xf numFmtId="0" fontId="74" fillId="0" borderId="0" xfId="0" applyFont="1" applyFill="1" applyBorder="1" applyAlignment="1">
      <alignment horizontal="center" vertical="center"/>
    </xf>
    <xf numFmtId="0" fontId="82" fillId="0" borderId="0" xfId="0" applyFont="1" applyFill="1" applyBorder="1" applyAlignment="1">
      <alignment horizontal="left" vertical="top"/>
    </xf>
    <xf numFmtId="0" fontId="72" fillId="0" borderId="42" xfId="0" applyFont="1" applyFill="1" applyBorder="1" applyAlignment="1">
      <alignment horizontal="right" vertical="top"/>
    </xf>
    <xf numFmtId="0" fontId="83" fillId="0" borderId="0" xfId="0" applyFont="1" applyFill="1" applyBorder="1" applyAlignment="1">
      <alignment horizontal="right" vertical="top"/>
    </xf>
    <xf numFmtId="0" fontId="82" fillId="0" borderId="43" xfId="0" applyFont="1" applyFill="1" applyBorder="1" applyAlignment="1">
      <alignment horizontal="left" vertical="top"/>
    </xf>
    <xf numFmtId="0" fontId="82" fillId="0" borderId="43" xfId="0" applyFont="1" applyFill="1" applyBorder="1" applyAlignment="1">
      <alignment horizontal="left" vertical="center"/>
    </xf>
    <xf numFmtId="0" fontId="82" fillId="0" borderId="41" xfId="0" applyFont="1" applyFill="1" applyBorder="1" applyAlignment="1">
      <alignment horizontal="left" vertical="center"/>
    </xf>
    <xf numFmtId="0" fontId="71" fillId="0" borderId="36" xfId="0" applyFont="1" applyFill="1" applyBorder="1" applyAlignment="1">
      <alignment horizontal="left"/>
    </xf>
    <xf numFmtId="0" fontId="71" fillId="0" borderId="0" xfId="0" applyFont="1" applyFill="1" applyBorder="1" applyAlignment="1">
      <alignment horizontal="left"/>
    </xf>
    <xf numFmtId="0" fontId="71" fillId="0" borderId="32" xfId="0" applyFont="1" applyFill="1" applyBorder="1" applyAlignment="1">
      <alignment horizontal="left" vertical="top"/>
    </xf>
    <xf numFmtId="0" fontId="71" fillId="0" borderId="33" xfId="0" applyFont="1" applyFill="1" applyBorder="1" applyAlignment="1">
      <alignment horizontal="left" vertical="top"/>
    </xf>
    <xf numFmtId="0" fontId="83" fillId="0" borderId="36" xfId="0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left" vertical="top"/>
    </xf>
    <xf numFmtId="0" fontId="71" fillId="0" borderId="42" xfId="0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center"/>
    </xf>
    <xf numFmtId="0" fontId="83" fillId="0" borderId="36" xfId="0" applyFont="1" applyFill="1" applyBorder="1" applyAlignment="1">
      <alignment horizontal="left"/>
    </xf>
    <xf numFmtId="0" fontId="71" fillId="0" borderId="36" xfId="0" applyFont="1" applyFill="1" applyBorder="1" applyAlignment="1">
      <alignment horizontal="center"/>
    </xf>
    <xf numFmtId="0" fontId="71" fillId="0" borderId="42" xfId="0" applyFont="1" applyFill="1" applyBorder="1" applyAlignment="1">
      <alignment horizontal="center"/>
    </xf>
    <xf numFmtId="0" fontId="71" fillId="0" borderId="36" xfId="0" applyFont="1" applyFill="1" applyBorder="1" applyAlignment="1">
      <alignment horizontal="left" vertical="top"/>
    </xf>
    <xf numFmtId="0" fontId="85" fillId="0" borderId="36" xfId="0" applyFont="1" applyFill="1" applyBorder="1" applyAlignment="1">
      <alignment horizontal="center" vertical="center"/>
    </xf>
    <xf numFmtId="0" fontId="85" fillId="0" borderId="0" xfId="0" applyFont="1" applyFill="1" applyBorder="1" applyAlignment="1">
      <alignment horizontal="center" vertical="center"/>
    </xf>
    <xf numFmtId="0" fontId="85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left" vertical="center"/>
    </xf>
    <xf numFmtId="0" fontId="71" fillId="0" borderId="0" xfId="0" applyFont="1" applyFill="1" applyBorder="1" applyAlignment="1">
      <alignment horizontal="right" vertical="center"/>
    </xf>
    <xf numFmtId="0" fontId="71" fillId="0" borderId="42" xfId="0" applyFont="1" applyFill="1" applyBorder="1" applyAlignment="1">
      <alignment horizontal="center" vertical="top"/>
    </xf>
    <xf numFmtId="0" fontId="71" fillId="0" borderId="39" xfId="0" applyFont="1" applyFill="1" applyBorder="1" applyAlignment="1">
      <alignment horizontal="left"/>
    </xf>
    <xf numFmtId="0" fontId="71" fillId="0" borderId="43" xfId="0" applyFont="1" applyFill="1" applyBorder="1" applyAlignment="1">
      <alignment horizontal="left"/>
    </xf>
    <xf numFmtId="0" fontId="85" fillId="0" borderId="43" xfId="0" applyFont="1" applyFill="1" applyBorder="1" applyAlignment="1">
      <alignment horizontal="left"/>
    </xf>
    <xf numFmtId="0" fontId="71" fillId="0" borderId="32" xfId="0" applyFont="1" applyFill="1" applyBorder="1" applyAlignment="1">
      <alignment horizontal="center" vertical="top"/>
    </xf>
    <xf numFmtId="0" fontId="71" fillId="0" borderId="33" xfId="0" applyFont="1" applyFill="1" applyBorder="1" applyAlignment="1">
      <alignment horizontal="center" vertical="top"/>
    </xf>
    <xf numFmtId="0" fontId="71" fillId="0" borderId="36" xfId="0" applyFont="1" applyFill="1" applyBorder="1" applyAlignment="1">
      <alignment horizontal="center" vertical="top"/>
    </xf>
    <xf numFmtId="0" fontId="83" fillId="0" borderId="36" xfId="0" applyFont="1" applyFill="1" applyBorder="1" applyAlignment="1">
      <alignment horizontal="center" vertical="top"/>
    </xf>
    <xf numFmtId="0" fontId="83" fillId="0" borderId="0" xfId="0" applyFont="1" applyFill="1" applyBorder="1" applyAlignment="1">
      <alignment horizontal="center" vertical="top"/>
    </xf>
    <xf numFmtId="0" fontId="78" fillId="0" borderId="0" xfId="0" applyFont="1" applyFill="1" applyBorder="1" applyAlignment="1">
      <alignment horizontal="center" vertical="top"/>
    </xf>
    <xf numFmtId="0" fontId="78" fillId="0" borderId="42" xfId="0" applyFont="1" applyFill="1" applyBorder="1" applyAlignment="1">
      <alignment horizontal="center" vertical="top"/>
    </xf>
    <xf numFmtId="0" fontId="91" fillId="0" borderId="36" xfId="0" applyFont="1" applyFill="1" applyBorder="1" applyAlignment="1">
      <alignment horizontal="center" vertical="top"/>
    </xf>
    <xf numFmtId="0" fontId="91" fillId="0" borderId="0" xfId="0" applyFont="1" applyFill="1" applyBorder="1" applyAlignment="1">
      <alignment horizontal="center" vertical="top"/>
    </xf>
    <xf numFmtId="0" fontId="67" fillId="0" borderId="0" xfId="0" applyFont="1" applyAlignment="1">
      <alignment horizontal="center" vertical="top"/>
    </xf>
    <xf numFmtId="0" fontId="96" fillId="0" borderId="0" xfId="0" applyFont="1" applyFill="1" applyBorder="1" applyAlignment="1">
      <alignment horizontal="left" vertical="top"/>
    </xf>
    <xf numFmtId="0" fontId="78" fillId="0" borderId="32" xfId="0" applyFont="1" applyFill="1" applyBorder="1" applyAlignment="1">
      <alignment horizontal="left" vertical="top"/>
    </xf>
    <xf numFmtId="0" fontId="78" fillId="0" borderId="33" xfId="0" applyFont="1" applyFill="1" applyBorder="1" applyAlignment="1">
      <alignment horizontal="left" vertical="top"/>
    </xf>
    <xf numFmtId="0" fontId="81" fillId="0" borderId="43" xfId="0" applyFont="1" applyFill="1" applyBorder="1" applyAlignment="1">
      <alignment horizontal="left" vertical="center"/>
    </xf>
    <xf numFmtId="0" fontId="71" fillId="0" borderId="39" xfId="0" applyFont="1" applyFill="1" applyBorder="1" applyAlignment="1">
      <alignment horizontal="left" vertical="top"/>
    </xf>
    <xf numFmtId="0" fontId="71" fillId="0" borderId="43" xfId="0" applyFont="1" applyFill="1" applyBorder="1" applyAlignment="1">
      <alignment horizontal="left" vertical="top"/>
    </xf>
    <xf numFmtId="0" fontId="93" fillId="0" borderId="32" xfId="0" applyFont="1" applyFill="1" applyBorder="1" applyAlignment="1">
      <alignment horizontal="left" vertical="top"/>
    </xf>
    <xf numFmtId="0" fontId="93" fillId="0" borderId="33" xfId="0" applyFont="1" applyFill="1" applyBorder="1" applyAlignment="1">
      <alignment horizontal="left" vertical="top"/>
    </xf>
    <xf numFmtId="14" fontId="71" fillId="0" borderId="0" xfId="0" applyNumberFormat="1" applyFont="1" applyFill="1" applyBorder="1" applyAlignment="1">
      <alignment horizontal="left" vertical="top"/>
    </xf>
    <xf numFmtId="0" fontId="71" fillId="0" borderId="0" xfId="0" applyFont="1" applyFill="1" applyBorder="1" applyAlignment="1">
      <alignment horizontal="right" vertical="top"/>
    </xf>
    <xf numFmtId="0" fontId="0" fillId="13" borderId="8" xfId="0" applyFill="1" applyBorder="1" applyAlignment="1" applyProtection="1">
      <alignment horizontal="left" vertical="center"/>
    </xf>
    <xf numFmtId="0" fontId="0" fillId="13" borderId="11" xfId="0" applyFill="1" applyBorder="1" applyAlignment="1" applyProtection="1">
      <alignment horizontal="left" vertical="center"/>
    </xf>
    <xf numFmtId="0" fontId="1" fillId="13" borderId="11" xfId="0" applyFont="1" applyFill="1" applyBorder="1" applyAlignment="1" applyProtection="1">
      <alignment horizontal="left" vertical="center"/>
    </xf>
    <xf numFmtId="0" fontId="0" fillId="13" borderId="7" xfId="0" applyFill="1" applyBorder="1" applyAlignment="1" applyProtection="1">
      <alignment horizontal="left" vertical="center"/>
    </xf>
  </cellXfs>
  <cellStyles count="16">
    <cellStyle name="Euro" xfId="1"/>
    <cellStyle name="Euro 2" xfId="2"/>
    <cellStyle name="Euro 2 2" xfId="3"/>
    <cellStyle name="Euro 2 3" xfId="4"/>
    <cellStyle name="Euro 2 3 2" xfId="5"/>
    <cellStyle name="Euro 3" xfId="6"/>
    <cellStyle name="Euro 4" xfId="7"/>
    <cellStyle name="Euro 4 2" xfId="8"/>
    <cellStyle name="Euro 5" xfId="9"/>
    <cellStyle name="Euro 5 2" xfId="10"/>
    <cellStyle name="Euro 6" xfId="11"/>
    <cellStyle name="Lien hypertexte" xfId="12" builtinId="8"/>
    <cellStyle name="Lien hypertexte 2" xfId="13"/>
    <cellStyle name="Lien hypertexte 2 2" xfId="14"/>
    <cellStyle name="Normal" xfId="0" builtinId="0"/>
    <cellStyle name="Normal 2" xfId="15"/>
  </cellStyles>
  <dxfs count="334"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2" formatCode="0.00"/>
      <alignment horizontal="left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font>
        <sz val="9"/>
      </font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protection locked="1"/>
    </dxf>
    <dxf>
      <protection locked="1"/>
    </dxf>
    <dxf>
      <protection locked="1"/>
    </dxf>
    <dxf>
      <numFmt numFmtId="2" formatCode="0.00"/>
    </dxf>
    <dxf>
      <alignment vertical="center" readingOrder="0"/>
    </dxf>
    <dxf>
      <alignment horizontal="center" readingOrder="0"/>
    </dxf>
    <dxf>
      <font>
        <b/>
      </font>
    </dxf>
    <dxf>
      <font>
        <color theme="1"/>
      </font>
    </dxf>
    <dxf>
      <numFmt numFmtId="2" formatCode="0.00"/>
      <fill>
        <patternFill patternType="solid">
          <bgColor theme="6" tint="0.59996337778862885"/>
        </patternFill>
      </fill>
      <alignment horizontal="center"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7" formatCode="#,##0.00\ &quot;€&quot;"/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  <border>
        <left/>
        <right/>
        <top/>
        <bottom/>
      </border>
    </dxf>
    <dxf>
      <fill>
        <patternFill patternType="solid">
          <fgColor theme="0"/>
          <bgColor theme="0"/>
        </patternFill>
      </fill>
    </dxf>
    <dxf>
      <font>
        <color theme="0"/>
      </font>
      <fill>
        <patternFill>
          <fgColor theme="0"/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</dxf>
    <dxf>
      <font>
        <color theme="0"/>
      </font>
      <fill>
        <patternFill>
          <fgColor indexed="64"/>
        </patternFill>
      </fill>
    </dxf>
    <dxf>
      <font>
        <color theme="0"/>
      </font>
      <fill>
        <patternFill>
          <fgColor indexed="6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  <border>
        <left/>
        <right/>
        <top/>
        <bottom/>
      </border>
    </dxf>
    <dxf>
      <fill>
        <patternFill patternType="solid">
          <fgColor theme="0"/>
          <bgColor theme="0"/>
        </patternFill>
      </fill>
    </dxf>
    <dxf>
      <font>
        <color theme="0"/>
      </font>
      <fill>
        <patternFill>
          <fgColor theme="0"/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indexed="64"/>
        </patternFill>
      </fill>
    </dxf>
    <dxf>
      <font>
        <color theme="0"/>
      </font>
    </dxf>
    <dxf>
      <font>
        <color theme="0"/>
      </font>
      <fill>
        <patternFill>
          <fgColor indexed="64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228600</xdr:colOff>
      <xdr:row>9</xdr:row>
      <xdr:rowOff>133350</xdr:rowOff>
    </xdr:from>
    <xdr:to>
      <xdr:col>24</xdr:col>
      <xdr:colOff>57150</xdr:colOff>
      <xdr:row>15</xdr:row>
      <xdr:rowOff>171450</xdr:rowOff>
    </xdr:to>
    <xdr:sp macro="" textlink="">
      <xdr:nvSpPr>
        <xdr:cNvPr id="27411" name="AutoShape 18"/>
        <xdr:cNvSpPr>
          <a:spLocks noChangeArrowheads="1"/>
        </xdr:cNvSpPr>
      </xdr:nvSpPr>
      <xdr:spPr bwMode="auto">
        <a:xfrm>
          <a:off x="7734300" y="2514600"/>
          <a:ext cx="4000500" cy="2019300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</xdr:row>
      <xdr:rowOff>38101</xdr:rowOff>
    </xdr:from>
    <xdr:to>
      <xdr:col>9</xdr:col>
      <xdr:colOff>247650</xdr:colOff>
      <xdr:row>16</xdr:row>
      <xdr:rowOff>19050</xdr:rowOff>
    </xdr:to>
    <xdr:sp macro="" textlink="">
      <xdr:nvSpPr>
        <xdr:cNvPr id="1045" name="Rectangle 21"/>
        <xdr:cNvSpPr>
          <a:spLocks noChangeArrowheads="1"/>
        </xdr:cNvSpPr>
      </xdr:nvSpPr>
      <xdr:spPr bwMode="auto">
        <a:xfrm>
          <a:off x="838200" y="2590801"/>
          <a:ext cx="3238500" cy="203834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endParaRPr lang="fr-FR" sz="18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228600</xdr:colOff>
      <xdr:row>9</xdr:row>
      <xdr:rowOff>133350</xdr:rowOff>
    </xdr:from>
    <xdr:to>
      <xdr:col>24</xdr:col>
      <xdr:colOff>114300</xdr:colOff>
      <xdr:row>15</xdr:row>
      <xdr:rowOff>171450</xdr:rowOff>
    </xdr:to>
    <xdr:sp macro="" textlink="">
      <xdr:nvSpPr>
        <xdr:cNvPr id="28236" name="AutoShape 18"/>
        <xdr:cNvSpPr>
          <a:spLocks noChangeArrowheads="1"/>
        </xdr:cNvSpPr>
      </xdr:nvSpPr>
      <xdr:spPr bwMode="auto">
        <a:xfrm>
          <a:off x="7734300" y="2457450"/>
          <a:ext cx="4057650" cy="2019300"/>
        </a:xfrm>
        <a:prstGeom prst="roundRect">
          <a:avLst>
            <a:gd name="adj" fmla="val 16667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19050</xdr:colOff>
      <xdr:row>10</xdr:row>
      <xdr:rowOff>38101</xdr:rowOff>
    </xdr:from>
    <xdr:to>
      <xdr:col>9</xdr:col>
      <xdr:colOff>247650</xdr:colOff>
      <xdr:row>16</xdr:row>
      <xdr:rowOff>19050</xdr:rowOff>
    </xdr:to>
    <xdr:sp macro="" textlink="">
      <xdr:nvSpPr>
        <xdr:cNvPr id="3" name="Rectangle 21"/>
        <xdr:cNvSpPr>
          <a:spLocks noChangeArrowheads="1"/>
        </xdr:cNvSpPr>
      </xdr:nvSpPr>
      <xdr:spPr bwMode="auto">
        <a:xfrm>
          <a:off x="838200" y="2495551"/>
          <a:ext cx="3190875" cy="201929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endParaRPr lang="fr-FR" sz="18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200025</xdr:colOff>
      <xdr:row>18</xdr:row>
      <xdr:rowOff>28575</xdr:rowOff>
    </xdr:from>
    <xdr:to>
      <xdr:col>16</xdr:col>
      <xdr:colOff>538201</xdr:colOff>
      <xdr:row>44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lients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77025" y="2571750"/>
              <a:ext cx="1633576" cy="3209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23</xdr:col>
      <xdr:colOff>0</xdr:colOff>
      <xdr:row>18</xdr:row>
      <xdr:rowOff>0</xdr:rowOff>
    </xdr:from>
    <xdr:to>
      <xdr:col>24</xdr:col>
      <xdr:colOff>390525</xdr:colOff>
      <xdr:row>22</xdr:row>
      <xdr:rowOff>9526</xdr:rowOff>
    </xdr:to>
    <xdr:sp macro="[0]!MiseAjourListeClients" textlink="">
      <xdr:nvSpPr>
        <xdr:cNvPr id="4" name="ZoneTexte 3"/>
        <xdr:cNvSpPr txBox="1"/>
      </xdr:nvSpPr>
      <xdr:spPr>
        <a:xfrm>
          <a:off x="12106275" y="2543175"/>
          <a:ext cx="1038225" cy="50482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</a:p>
        <a:p>
          <a:pPr algn="ctr"/>
          <a:r>
            <a:rPr lang="fr-FR" sz="1100" baseline="0">
              <a:solidFill>
                <a:srgbClr val="0000FF"/>
              </a:solidFill>
            </a:rPr>
            <a:t>Liste clients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142874</xdr:colOff>
      <xdr:row>26</xdr:row>
      <xdr:rowOff>171451</xdr:rowOff>
    </xdr:from>
    <xdr:to>
      <xdr:col>19</xdr:col>
      <xdr:colOff>214349</xdr:colOff>
      <xdr:row>35</xdr:row>
      <xdr:rowOff>57151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72874" y="5095876"/>
              <a:ext cx="1424025" cy="1600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85725</xdr:colOff>
      <xdr:row>9</xdr:row>
      <xdr:rowOff>47624</xdr:rowOff>
    </xdr:from>
    <xdr:to>
      <xdr:col>20</xdr:col>
      <xdr:colOff>100051</xdr:colOff>
      <xdr:row>26</xdr:row>
      <xdr:rowOff>19049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ien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15725" y="1733549"/>
              <a:ext cx="1633576" cy="3209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161925</xdr:colOff>
      <xdr:row>2</xdr:row>
      <xdr:rowOff>142875</xdr:rowOff>
    </xdr:from>
    <xdr:to>
      <xdr:col>3</xdr:col>
      <xdr:colOff>289924</xdr:colOff>
      <xdr:row>5</xdr:row>
      <xdr:rowOff>18959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5800" y="447675"/>
          <a:ext cx="575674" cy="333284"/>
        </a:xfrm>
        <a:prstGeom prst="rect">
          <a:avLst/>
        </a:prstGeom>
      </xdr:spPr>
    </xdr:pic>
    <xdr:clientData/>
  </xdr:twoCellAnchor>
  <xdr:twoCellAnchor>
    <xdr:from>
      <xdr:col>1</xdr:col>
      <xdr:colOff>95250</xdr:colOff>
      <xdr:row>16</xdr:row>
      <xdr:rowOff>47625</xdr:rowOff>
    </xdr:from>
    <xdr:to>
      <xdr:col>1</xdr:col>
      <xdr:colOff>180975</xdr:colOff>
      <xdr:row>16</xdr:row>
      <xdr:rowOff>142875</xdr:rowOff>
    </xdr:to>
    <xdr:sp macro="" textlink="">
      <xdr:nvSpPr>
        <xdr:cNvPr id="3" name="Rectangle 2"/>
        <xdr:cNvSpPr/>
      </xdr:nvSpPr>
      <xdr:spPr>
        <a:xfrm>
          <a:off x="200025" y="267652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16</xdr:row>
      <xdr:rowOff>47625</xdr:rowOff>
    </xdr:from>
    <xdr:to>
      <xdr:col>7</xdr:col>
      <xdr:colOff>200025</xdr:colOff>
      <xdr:row>16</xdr:row>
      <xdr:rowOff>142875</xdr:rowOff>
    </xdr:to>
    <xdr:sp macro="" textlink="">
      <xdr:nvSpPr>
        <xdr:cNvPr id="4" name="Rectangle 3"/>
        <xdr:cNvSpPr/>
      </xdr:nvSpPr>
      <xdr:spPr>
        <a:xfrm>
          <a:off x="2257425" y="267652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152400</xdr:colOff>
      <xdr:row>16</xdr:row>
      <xdr:rowOff>38100</xdr:rowOff>
    </xdr:from>
    <xdr:to>
      <xdr:col>12</xdr:col>
      <xdr:colOff>238125</xdr:colOff>
      <xdr:row>16</xdr:row>
      <xdr:rowOff>133350</xdr:rowOff>
    </xdr:to>
    <xdr:sp macro="" textlink="">
      <xdr:nvSpPr>
        <xdr:cNvPr id="5" name="Rectangle 4"/>
        <xdr:cNvSpPr/>
      </xdr:nvSpPr>
      <xdr:spPr>
        <a:xfrm>
          <a:off x="4248150" y="266700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19</xdr:row>
      <xdr:rowOff>38100</xdr:rowOff>
    </xdr:from>
    <xdr:to>
      <xdr:col>1</xdr:col>
      <xdr:colOff>180975</xdr:colOff>
      <xdr:row>19</xdr:row>
      <xdr:rowOff>133350</xdr:rowOff>
    </xdr:to>
    <xdr:sp macro="" textlink="">
      <xdr:nvSpPr>
        <xdr:cNvPr id="6" name="Rectangle 5"/>
        <xdr:cNvSpPr/>
      </xdr:nvSpPr>
      <xdr:spPr>
        <a:xfrm>
          <a:off x="200025" y="31813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20</xdr:row>
      <xdr:rowOff>38100</xdr:rowOff>
    </xdr:from>
    <xdr:to>
      <xdr:col>1</xdr:col>
      <xdr:colOff>180975</xdr:colOff>
      <xdr:row>20</xdr:row>
      <xdr:rowOff>133350</xdr:rowOff>
    </xdr:to>
    <xdr:sp macro="" textlink="">
      <xdr:nvSpPr>
        <xdr:cNvPr id="7" name="Rectangle 6"/>
        <xdr:cNvSpPr/>
      </xdr:nvSpPr>
      <xdr:spPr>
        <a:xfrm>
          <a:off x="200025" y="335280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21</xdr:row>
      <xdr:rowOff>38100</xdr:rowOff>
    </xdr:from>
    <xdr:to>
      <xdr:col>1</xdr:col>
      <xdr:colOff>180975</xdr:colOff>
      <xdr:row>21</xdr:row>
      <xdr:rowOff>133350</xdr:rowOff>
    </xdr:to>
    <xdr:sp macro="" textlink="">
      <xdr:nvSpPr>
        <xdr:cNvPr id="8" name="Rectangle 7"/>
        <xdr:cNvSpPr/>
      </xdr:nvSpPr>
      <xdr:spPr>
        <a:xfrm>
          <a:off x="200025" y="35242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23</xdr:row>
      <xdr:rowOff>38100</xdr:rowOff>
    </xdr:from>
    <xdr:to>
      <xdr:col>1</xdr:col>
      <xdr:colOff>180975</xdr:colOff>
      <xdr:row>23</xdr:row>
      <xdr:rowOff>133350</xdr:rowOff>
    </xdr:to>
    <xdr:sp macro="" textlink="">
      <xdr:nvSpPr>
        <xdr:cNvPr id="9" name="Rectangle 8"/>
        <xdr:cNvSpPr/>
      </xdr:nvSpPr>
      <xdr:spPr>
        <a:xfrm>
          <a:off x="200025" y="3867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</a:t>
          </a:r>
        </a:p>
      </xdr:txBody>
    </xdr:sp>
    <xdr:clientData/>
  </xdr:twoCellAnchor>
  <xdr:twoCellAnchor>
    <xdr:from>
      <xdr:col>3</xdr:col>
      <xdr:colOff>19050</xdr:colOff>
      <xdr:row>25</xdr:row>
      <xdr:rowOff>28575</xdr:rowOff>
    </xdr:from>
    <xdr:to>
      <xdr:col>3</xdr:col>
      <xdr:colOff>104775</xdr:colOff>
      <xdr:row>25</xdr:row>
      <xdr:rowOff>123825</xdr:rowOff>
    </xdr:to>
    <xdr:sp macro="" textlink="">
      <xdr:nvSpPr>
        <xdr:cNvPr id="10" name="Rectangle 9"/>
        <xdr:cNvSpPr/>
      </xdr:nvSpPr>
      <xdr:spPr>
        <a:xfrm>
          <a:off x="866775" y="4248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190500</xdr:colOff>
      <xdr:row>25</xdr:row>
      <xdr:rowOff>28575</xdr:rowOff>
    </xdr:from>
    <xdr:to>
      <xdr:col>6</xdr:col>
      <xdr:colOff>276225</xdr:colOff>
      <xdr:row>25</xdr:row>
      <xdr:rowOff>123825</xdr:rowOff>
    </xdr:to>
    <xdr:sp macro="" textlink="">
      <xdr:nvSpPr>
        <xdr:cNvPr id="11" name="Rectangle 10"/>
        <xdr:cNvSpPr/>
      </xdr:nvSpPr>
      <xdr:spPr>
        <a:xfrm>
          <a:off x="2009775" y="4248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533400</xdr:colOff>
      <xdr:row>25</xdr:row>
      <xdr:rowOff>28575</xdr:rowOff>
    </xdr:from>
    <xdr:to>
      <xdr:col>9</xdr:col>
      <xdr:colOff>619125</xdr:colOff>
      <xdr:row>25</xdr:row>
      <xdr:rowOff>123825</xdr:rowOff>
    </xdr:to>
    <xdr:sp macro="" textlink="">
      <xdr:nvSpPr>
        <xdr:cNvPr id="12" name="Rectangle 11"/>
        <xdr:cNvSpPr/>
      </xdr:nvSpPr>
      <xdr:spPr>
        <a:xfrm>
          <a:off x="3324225" y="4248150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30</xdr:row>
      <xdr:rowOff>28575</xdr:rowOff>
    </xdr:from>
    <xdr:to>
      <xdr:col>1</xdr:col>
      <xdr:colOff>171450</xdr:colOff>
      <xdr:row>30</xdr:row>
      <xdr:rowOff>123825</xdr:rowOff>
    </xdr:to>
    <xdr:sp macro="" textlink="">
      <xdr:nvSpPr>
        <xdr:cNvPr id="13" name="Rectangle 12"/>
        <xdr:cNvSpPr/>
      </xdr:nvSpPr>
      <xdr:spPr>
        <a:xfrm>
          <a:off x="190500" y="51339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32</xdr:row>
      <xdr:rowOff>28575</xdr:rowOff>
    </xdr:from>
    <xdr:to>
      <xdr:col>1</xdr:col>
      <xdr:colOff>171450</xdr:colOff>
      <xdr:row>32</xdr:row>
      <xdr:rowOff>123825</xdr:rowOff>
    </xdr:to>
    <xdr:sp macro="" textlink="">
      <xdr:nvSpPr>
        <xdr:cNvPr id="14" name="Rectangle 13"/>
        <xdr:cNvSpPr/>
      </xdr:nvSpPr>
      <xdr:spPr>
        <a:xfrm>
          <a:off x="190500" y="54387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247650</xdr:colOff>
      <xdr:row>33</xdr:row>
      <xdr:rowOff>28575</xdr:rowOff>
    </xdr:from>
    <xdr:to>
      <xdr:col>9</xdr:col>
      <xdr:colOff>333375</xdr:colOff>
      <xdr:row>33</xdr:row>
      <xdr:rowOff>123825</xdr:rowOff>
    </xdr:to>
    <xdr:sp macro="" textlink="">
      <xdr:nvSpPr>
        <xdr:cNvPr id="15" name="Rectangle 14"/>
        <xdr:cNvSpPr/>
      </xdr:nvSpPr>
      <xdr:spPr>
        <a:xfrm>
          <a:off x="3038475" y="55911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257175</xdr:colOff>
      <xdr:row>34</xdr:row>
      <xdr:rowOff>28575</xdr:rowOff>
    </xdr:from>
    <xdr:to>
      <xdr:col>3</xdr:col>
      <xdr:colOff>19050</xdr:colOff>
      <xdr:row>34</xdr:row>
      <xdr:rowOff>123825</xdr:rowOff>
    </xdr:to>
    <xdr:sp macro="" textlink="">
      <xdr:nvSpPr>
        <xdr:cNvPr id="16" name="Rectangle 15"/>
        <xdr:cNvSpPr/>
      </xdr:nvSpPr>
      <xdr:spPr>
        <a:xfrm>
          <a:off x="781050" y="57435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19050</xdr:colOff>
      <xdr:row>34</xdr:row>
      <xdr:rowOff>28575</xdr:rowOff>
    </xdr:from>
    <xdr:to>
      <xdr:col>7</xdr:col>
      <xdr:colOff>104775</xdr:colOff>
      <xdr:row>34</xdr:row>
      <xdr:rowOff>123825</xdr:rowOff>
    </xdr:to>
    <xdr:sp macro="" textlink="">
      <xdr:nvSpPr>
        <xdr:cNvPr id="17" name="Rectangle 16"/>
        <xdr:cNvSpPr/>
      </xdr:nvSpPr>
      <xdr:spPr>
        <a:xfrm>
          <a:off x="2162175" y="57435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95250</xdr:colOff>
      <xdr:row>35</xdr:row>
      <xdr:rowOff>28575</xdr:rowOff>
    </xdr:from>
    <xdr:to>
      <xdr:col>1</xdr:col>
      <xdr:colOff>180975</xdr:colOff>
      <xdr:row>35</xdr:row>
      <xdr:rowOff>123825</xdr:rowOff>
    </xdr:to>
    <xdr:sp macro="" textlink="">
      <xdr:nvSpPr>
        <xdr:cNvPr id="18" name="Rectangle 17"/>
        <xdr:cNvSpPr/>
      </xdr:nvSpPr>
      <xdr:spPr>
        <a:xfrm>
          <a:off x="200025" y="58959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28575</xdr:colOff>
      <xdr:row>35</xdr:row>
      <xdr:rowOff>28575</xdr:rowOff>
    </xdr:from>
    <xdr:to>
      <xdr:col>8</xdr:col>
      <xdr:colOff>114300</xdr:colOff>
      <xdr:row>35</xdr:row>
      <xdr:rowOff>123825</xdr:rowOff>
    </xdr:to>
    <xdr:sp macro="" textlink="">
      <xdr:nvSpPr>
        <xdr:cNvPr id="19" name="Rectangle 18"/>
        <xdr:cNvSpPr/>
      </xdr:nvSpPr>
      <xdr:spPr>
        <a:xfrm>
          <a:off x="2495550" y="58959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37</xdr:row>
      <xdr:rowOff>28575</xdr:rowOff>
    </xdr:from>
    <xdr:to>
      <xdr:col>1</xdr:col>
      <xdr:colOff>171450</xdr:colOff>
      <xdr:row>37</xdr:row>
      <xdr:rowOff>123825</xdr:rowOff>
    </xdr:to>
    <xdr:sp macro="" textlink="">
      <xdr:nvSpPr>
        <xdr:cNvPr id="20" name="Rectangle 19"/>
        <xdr:cNvSpPr/>
      </xdr:nvSpPr>
      <xdr:spPr>
        <a:xfrm>
          <a:off x="190500" y="62007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38</xdr:row>
      <xdr:rowOff>28575</xdr:rowOff>
    </xdr:from>
    <xdr:to>
      <xdr:col>1</xdr:col>
      <xdr:colOff>171450</xdr:colOff>
      <xdr:row>38</xdr:row>
      <xdr:rowOff>123825</xdr:rowOff>
    </xdr:to>
    <xdr:sp macro="" textlink="">
      <xdr:nvSpPr>
        <xdr:cNvPr id="21" name="Rectangle 20"/>
        <xdr:cNvSpPr/>
      </xdr:nvSpPr>
      <xdr:spPr>
        <a:xfrm>
          <a:off x="190500" y="63531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39</xdr:row>
      <xdr:rowOff>28575</xdr:rowOff>
    </xdr:from>
    <xdr:to>
      <xdr:col>1</xdr:col>
      <xdr:colOff>171450</xdr:colOff>
      <xdr:row>39</xdr:row>
      <xdr:rowOff>123825</xdr:rowOff>
    </xdr:to>
    <xdr:sp macro="" textlink="">
      <xdr:nvSpPr>
        <xdr:cNvPr id="22" name="Rectangle 21"/>
        <xdr:cNvSpPr/>
      </xdr:nvSpPr>
      <xdr:spPr>
        <a:xfrm>
          <a:off x="190500" y="65055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85725</xdr:colOff>
      <xdr:row>43</xdr:row>
      <xdr:rowOff>28575</xdr:rowOff>
    </xdr:from>
    <xdr:to>
      <xdr:col>1</xdr:col>
      <xdr:colOff>171450</xdr:colOff>
      <xdr:row>43</xdr:row>
      <xdr:rowOff>123825</xdr:rowOff>
    </xdr:to>
    <xdr:sp macro="" textlink="">
      <xdr:nvSpPr>
        <xdr:cNvPr id="23" name="Rectangle 22"/>
        <xdr:cNvSpPr/>
      </xdr:nvSpPr>
      <xdr:spPr>
        <a:xfrm>
          <a:off x="190500" y="7115175"/>
          <a:ext cx="85725" cy="9525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266700</xdr:colOff>
      <xdr:row>64</xdr:row>
      <xdr:rowOff>9525</xdr:rowOff>
    </xdr:from>
    <xdr:to>
      <xdr:col>10</xdr:col>
      <xdr:colOff>137125</xdr:colOff>
      <xdr:row>66</xdr:row>
      <xdr:rowOff>142796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409825" y="10172700"/>
          <a:ext cx="1175350" cy="438071"/>
        </a:xfrm>
        <a:prstGeom prst="rect">
          <a:avLst/>
        </a:prstGeom>
      </xdr:spPr>
    </xdr:pic>
    <xdr:clientData/>
  </xdr:twoCellAnchor>
  <xdr:twoCellAnchor editAs="oneCell">
    <xdr:from>
      <xdr:col>8</xdr:col>
      <xdr:colOff>133351</xdr:colOff>
      <xdr:row>0</xdr:row>
      <xdr:rowOff>133350</xdr:rowOff>
    </xdr:from>
    <xdr:to>
      <xdr:col>10</xdr:col>
      <xdr:colOff>123392</xdr:colOff>
      <xdr:row>5</xdr:row>
      <xdr:rowOff>76200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00326" y="133350"/>
          <a:ext cx="1123516" cy="7143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Desktop/tableau%20crois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mois"/>
    </sheetNames>
    <sheetDataSet>
      <sheetData sheetId="0" refreshError="1"/>
      <sheetData sheetId="1">
        <row r="2">
          <cell r="A2" t="str">
            <v>janvier</v>
          </cell>
        </row>
        <row r="3">
          <cell r="A3" t="str">
            <v>fevrier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711.906961805558" createdVersion="5" refreshedVersion="5" recordCount="201">
  <cacheSource type="worksheet">
    <worksheetSource name="général"/>
  </cacheSource>
  <cacheFields count="16">
    <cacheField name="clients" numFmtId="0">
      <sharedItems containsBlank="1" count="31">
        <s v="texier"/>
        <s v="sebastien"/>
        <s v="boismoraud"/>
        <s v="vincent"/>
        <s v="renoud"/>
        <s v="jackson"/>
        <s v="guillaume"/>
        <m/>
        <s v="volkswagen"/>
        <s v="perillat"/>
        <s v="lasternas"/>
        <s v="marie ange"/>
        <s v="jerome"/>
        <s v="touitou"/>
        <s v="feligonde"/>
        <s v="guichard"/>
        <s v="papon" u="1"/>
        <s v="grelet" u="1"/>
        <s v="gaec" u="1"/>
        <s v="juppe" u="1"/>
        <s v="jaguenaud" u="1"/>
        <s v="dupond" u="1"/>
        <s v="sicaud" u="1"/>
        <s v="dominique" u="1"/>
        <s v="garaud" u="1"/>
        <s v="marcel" u="1"/>
        <s v="gauthier" u="1"/>
        <s v="morin" u="1"/>
        <s v="durand" u="1"/>
        <s v="garnier" u="1"/>
        <s v="fort" u="1"/>
      </sharedItems>
    </cacheField>
    <cacheField name="mois" numFmtId="169">
      <sharedItems containsNonDate="0" containsDate="1" containsString="0" containsBlank="1" minDate="2015-01-01T00:00:00" maxDate="2016-11-02T00:00:00" count="23">
        <d v="2015-01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m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8-01T00:00:00"/>
        <d v="2016-09-01T00:00:00"/>
        <d v="2016-10-01T00:00:00"/>
        <d v="2016-11-01T00:00:00"/>
        <d v="2016-07-01T00:00:00" u="1"/>
      </sharedItems>
    </cacheField>
    <cacheField name="point p" numFmtId="2">
      <sharedItems containsString="0" containsBlank="1" containsNumber="1" minValue="-64.8" maxValue="3013.3300000000004"/>
    </cacheField>
    <cacheField name="raoult" numFmtId="2">
      <sharedItems containsString="0" containsBlank="1" containsNumber="1" minValue="-10.38" maxValue="685.74"/>
    </cacheField>
    <cacheField name="fenetrea" numFmtId="2">
      <sharedItems containsString="0" containsBlank="1" containsNumber="1" minValue="272.31" maxValue="2487.91"/>
    </cacheField>
    <cacheField name="bdr" numFmtId="2">
      <sharedItems containsString="0" containsBlank="1" containsNumber="1" minValue="-33.770000000000003" maxValue="718.24"/>
    </cacheField>
    <cacheField name="dispano" numFmtId="2">
      <sharedItems containsString="0" containsBlank="1" containsNumber="1" minValue="-96.949999999999989" maxValue="625.13000000000011"/>
    </cacheField>
    <cacheField name="lc bois" numFmtId="2">
      <sharedItems containsString="0" containsBlank="1" containsNumber="1" minValue="89.55" maxValue="218.03000000000003"/>
    </cacheField>
    <cacheField name="wurth" numFmtId="2">
      <sharedItems containsString="0" containsBlank="1" containsNumber="1" minValue="83.5" maxValue="138.36000000000001"/>
    </cacheField>
    <cacheField name="jointeur" numFmtId="2">
      <sharedItems containsString="0" containsBlank="1" containsNumber="1" minValue="94.88" maxValue="1214.06"/>
    </cacheField>
    <cacheField name="cged" numFmtId="2">
      <sharedItems containsString="0" containsBlank="1" containsNumber="1" minValue="83.32" maxValue="90.72"/>
    </cacheField>
    <cacheField name="bois" numFmtId="2">
      <sharedItems containsString="0" containsBlank="1" containsNumber="1" minValue="-185.74999999999994" maxValue="2535.7200000000003"/>
    </cacheField>
    <cacheField name="dechetterie" numFmtId="2">
      <sharedItems containsString="0" containsBlank="1" containsNumber="1" minValue="7.2" maxValue="60"/>
    </cacheField>
    <cacheField name="bricolage" numFmtId="2">
      <sharedItems containsString="0" containsBlank="1" containsNumber="1" minValue="8.17" maxValue="8.17"/>
    </cacheField>
    <cacheField name="escalier" numFmtId="2">
      <sharedItems containsString="0" containsBlank="1" containsNumber="1" minValue="5775.2" maxValue="5775.2"/>
    </cacheField>
    <cacheField name="nord blayais" numFmtId="2">
      <sharedItems containsString="0" containsBlank="1" containsNumber="1" minValue="16.68" maxValue="90.7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1">
  <r>
    <x v="0"/>
    <x v="0"/>
    <m/>
    <n v="2.99"/>
    <m/>
    <m/>
    <m/>
    <m/>
    <m/>
    <m/>
    <m/>
    <m/>
    <m/>
    <m/>
    <m/>
    <m/>
  </r>
  <r>
    <x v="1"/>
    <x v="0"/>
    <n v="-64.8"/>
    <m/>
    <m/>
    <m/>
    <m/>
    <m/>
    <m/>
    <m/>
    <m/>
    <m/>
    <m/>
    <m/>
    <m/>
    <m/>
  </r>
  <r>
    <x v="2"/>
    <x v="1"/>
    <m/>
    <n v="6.05"/>
    <m/>
    <m/>
    <m/>
    <m/>
    <m/>
    <m/>
    <m/>
    <m/>
    <m/>
    <m/>
    <m/>
    <m/>
  </r>
  <r>
    <x v="1"/>
    <x v="1"/>
    <n v="330.5"/>
    <m/>
    <m/>
    <m/>
    <m/>
    <m/>
    <m/>
    <m/>
    <m/>
    <m/>
    <m/>
    <m/>
    <m/>
    <m/>
  </r>
  <r>
    <x v="3"/>
    <x v="2"/>
    <m/>
    <n v="21.03"/>
    <m/>
    <m/>
    <m/>
    <m/>
    <m/>
    <m/>
    <m/>
    <m/>
    <m/>
    <m/>
    <m/>
    <m/>
  </r>
  <r>
    <x v="1"/>
    <x v="2"/>
    <n v="1614.3699999999997"/>
    <m/>
    <m/>
    <m/>
    <m/>
    <m/>
    <m/>
    <m/>
    <m/>
    <m/>
    <m/>
    <m/>
    <m/>
    <m/>
  </r>
  <r>
    <x v="1"/>
    <x v="3"/>
    <n v="464.45999999999992"/>
    <m/>
    <m/>
    <m/>
    <m/>
    <m/>
    <m/>
    <m/>
    <m/>
    <m/>
    <m/>
    <m/>
    <m/>
    <m/>
  </r>
  <r>
    <x v="4"/>
    <x v="2"/>
    <m/>
    <n v="16.059999999999999"/>
    <m/>
    <m/>
    <m/>
    <m/>
    <m/>
    <m/>
    <m/>
    <m/>
    <m/>
    <m/>
    <m/>
    <m/>
  </r>
  <r>
    <x v="4"/>
    <x v="4"/>
    <m/>
    <n v="685.74"/>
    <m/>
    <m/>
    <m/>
    <m/>
    <m/>
    <m/>
    <m/>
    <m/>
    <m/>
    <m/>
    <m/>
    <m/>
  </r>
  <r>
    <x v="1"/>
    <x v="4"/>
    <n v="-55.489999999999981"/>
    <m/>
    <m/>
    <m/>
    <m/>
    <m/>
    <m/>
    <m/>
    <m/>
    <m/>
    <m/>
    <m/>
    <m/>
    <m/>
  </r>
  <r>
    <x v="4"/>
    <x v="4"/>
    <n v="957.17000000000007"/>
    <m/>
    <m/>
    <m/>
    <m/>
    <m/>
    <m/>
    <m/>
    <m/>
    <m/>
    <n v="7.2"/>
    <m/>
    <m/>
    <n v="17.16"/>
  </r>
  <r>
    <x v="1"/>
    <x v="4"/>
    <n v="461.63"/>
    <m/>
    <m/>
    <m/>
    <m/>
    <m/>
    <m/>
    <m/>
    <m/>
    <m/>
    <m/>
    <m/>
    <m/>
    <m/>
  </r>
  <r>
    <x v="5"/>
    <x v="4"/>
    <n v="60.62"/>
    <m/>
    <m/>
    <m/>
    <m/>
    <m/>
    <m/>
    <m/>
    <n v="90.72"/>
    <m/>
    <n v="60"/>
    <m/>
    <m/>
    <m/>
  </r>
  <r>
    <x v="5"/>
    <x v="5"/>
    <n v="136.69999999999999"/>
    <m/>
    <m/>
    <m/>
    <m/>
    <m/>
    <m/>
    <m/>
    <n v="83.32"/>
    <m/>
    <n v="48"/>
    <m/>
    <m/>
    <m/>
  </r>
  <r>
    <x v="4"/>
    <x v="5"/>
    <n v="1711.9099999999996"/>
    <m/>
    <n v="2487.91"/>
    <m/>
    <m/>
    <m/>
    <n v="138.36000000000001"/>
    <m/>
    <m/>
    <m/>
    <m/>
    <m/>
    <m/>
    <m/>
  </r>
  <r>
    <x v="1"/>
    <x v="5"/>
    <n v="236.29"/>
    <m/>
    <m/>
    <m/>
    <m/>
    <m/>
    <m/>
    <m/>
    <m/>
    <m/>
    <m/>
    <m/>
    <m/>
    <m/>
  </r>
  <r>
    <x v="4"/>
    <x v="6"/>
    <n v="3013.3300000000004"/>
    <m/>
    <m/>
    <m/>
    <m/>
    <m/>
    <m/>
    <m/>
    <m/>
    <m/>
    <n v="36"/>
    <n v="8.17"/>
    <m/>
    <m/>
  </r>
  <r>
    <x v="1"/>
    <x v="6"/>
    <n v="580.16"/>
    <m/>
    <m/>
    <m/>
    <m/>
    <m/>
    <m/>
    <m/>
    <m/>
    <m/>
    <m/>
    <m/>
    <m/>
    <m/>
  </r>
  <r>
    <x v="2"/>
    <x v="6"/>
    <m/>
    <n v="-6.05"/>
    <m/>
    <m/>
    <m/>
    <m/>
    <m/>
    <m/>
    <m/>
    <m/>
    <m/>
    <m/>
    <m/>
    <m/>
  </r>
  <r>
    <x v="4"/>
    <x v="7"/>
    <n v="627.4799999999999"/>
    <m/>
    <m/>
    <m/>
    <m/>
    <m/>
    <m/>
    <m/>
    <m/>
    <m/>
    <m/>
    <m/>
    <m/>
    <n v="16.68"/>
  </r>
  <r>
    <x v="6"/>
    <x v="7"/>
    <m/>
    <n v="24.59"/>
    <m/>
    <m/>
    <m/>
    <m/>
    <m/>
    <m/>
    <m/>
    <m/>
    <m/>
    <m/>
    <m/>
    <m/>
  </r>
  <r>
    <x v="1"/>
    <x v="7"/>
    <n v="152.1"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"/>
    <x v="9"/>
    <n v="76.95"/>
    <m/>
    <m/>
    <n v="236.2"/>
    <m/>
    <m/>
    <m/>
    <m/>
    <m/>
    <m/>
    <m/>
    <m/>
    <m/>
    <m/>
  </r>
  <r>
    <x v="3"/>
    <x v="9"/>
    <n v="20.329999999999998"/>
    <n v="1.03"/>
    <m/>
    <m/>
    <m/>
    <m/>
    <m/>
    <m/>
    <m/>
    <m/>
    <m/>
    <m/>
    <m/>
    <m/>
  </r>
  <r>
    <x v="4"/>
    <x v="9"/>
    <n v="564.54"/>
    <n v="284.06"/>
    <m/>
    <n v="49.5"/>
    <m/>
    <m/>
    <m/>
    <n v="1214.06"/>
    <m/>
    <m/>
    <m/>
    <m/>
    <m/>
    <m/>
  </r>
  <r>
    <x v="4"/>
    <x v="10"/>
    <n v="2543.1599999999994"/>
    <n v="96.16"/>
    <m/>
    <m/>
    <m/>
    <m/>
    <m/>
    <m/>
    <m/>
    <m/>
    <m/>
    <m/>
    <m/>
    <n v="90.71"/>
  </r>
  <r>
    <x v="1"/>
    <x v="10"/>
    <n v="2001.91"/>
    <m/>
    <m/>
    <n v="-33.770000000000003"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4"/>
    <x v="11"/>
    <n v="110.38"/>
    <n v="16.78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6"/>
    <x v="11"/>
    <n v="19.920000000000002"/>
    <m/>
    <m/>
    <m/>
    <m/>
    <m/>
    <m/>
    <m/>
    <m/>
    <m/>
    <m/>
    <m/>
    <m/>
    <m/>
  </r>
  <r>
    <x v="1"/>
    <x v="11"/>
    <m/>
    <n v="7.98"/>
    <m/>
    <m/>
    <m/>
    <m/>
    <m/>
    <m/>
    <m/>
    <m/>
    <m/>
    <m/>
    <m/>
    <m/>
  </r>
  <r>
    <x v="1"/>
    <x v="12"/>
    <n v="145.75"/>
    <m/>
    <m/>
    <m/>
    <m/>
    <m/>
    <m/>
    <m/>
    <m/>
    <n v="631.54999999999995"/>
    <m/>
    <m/>
    <m/>
    <m/>
  </r>
  <r>
    <x v="4"/>
    <x v="12"/>
    <m/>
    <n v="-1.1499999999999999"/>
    <m/>
    <m/>
    <m/>
    <m/>
    <m/>
    <m/>
    <m/>
    <m/>
    <m/>
    <m/>
    <m/>
    <m/>
  </r>
  <r>
    <x v="2"/>
    <x v="12"/>
    <m/>
    <n v="7.56"/>
    <m/>
    <m/>
    <m/>
    <m/>
    <m/>
    <m/>
    <m/>
    <m/>
    <m/>
    <m/>
    <m/>
    <m/>
  </r>
  <r>
    <x v="6"/>
    <x v="12"/>
    <m/>
    <n v="8.5"/>
    <m/>
    <m/>
    <m/>
    <m/>
    <m/>
    <m/>
    <m/>
    <m/>
    <m/>
    <m/>
    <m/>
    <m/>
  </r>
  <r>
    <x v="8"/>
    <x v="12"/>
    <m/>
    <m/>
    <m/>
    <n v="199.51"/>
    <m/>
    <m/>
    <m/>
    <m/>
    <m/>
    <m/>
    <m/>
    <m/>
    <m/>
    <m/>
  </r>
  <r>
    <x v="8"/>
    <x v="13"/>
    <n v="73.260000000000005"/>
    <m/>
    <m/>
    <n v="718.24"/>
    <m/>
    <m/>
    <m/>
    <m/>
    <m/>
    <m/>
    <m/>
    <m/>
    <m/>
    <m/>
  </r>
  <r>
    <x v="5"/>
    <x v="13"/>
    <n v="57.22"/>
    <m/>
    <m/>
    <m/>
    <m/>
    <m/>
    <m/>
    <n v="94.88"/>
    <m/>
    <m/>
    <m/>
    <m/>
    <n v="5775.2"/>
    <m/>
  </r>
  <r>
    <x v="9"/>
    <x v="13"/>
    <m/>
    <n v="14.33"/>
    <m/>
    <m/>
    <m/>
    <m/>
    <m/>
    <m/>
    <m/>
    <m/>
    <m/>
    <m/>
    <m/>
    <m/>
  </r>
  <r>
    <x v="4"/>
    <x v="13"/>
    <m/>
    <n v="-10.38"/>
    <m/>
    <m/>
    <m/>
    <m/>
    <m/>
    <m/>
    <m/>
    <m/>
    <m/>
    <m/>
    <m/>
    <m/>
  </r>
  <r>
    <x v="5"/>
    <x v="14"/>
    <n v="20.04"/>
    <m/>
    <m/>
    <m/>
    <m/>
    <m/>
    <m/>
    <m/>
    <m/>
    <m/>
    <m/>
    <m/>
    <m/>
    <m/>
  </r>
  <r>
    <x v="1"/>
    <x v="14"/>
    <m/>
    <m/>
    <m/>
    <m/>
    <m/>
    <m/>
    <m/>
    <m/>
    <m/>
    <n v="-185.74999999999994"/>
    <m/>
    <m/>
    <m/>
    <m/>
  </r>
  <r>
    <x v="10"/>
    <x v="14"/>
    <m/>
    <n v="287.02"/>
    <m/>
    <m/>
    <n v="625.13000000000011"/>
    <m/>
    <m/>
    <m/>
    <m/>
    <m/>
    <m/>
    <m/>
    <m/>
    <m/>
  </r>
  <r>
    <x v="4"/>
    <x v="14"/>
    <m/>
    <m/>
    <m/>
    <m/>
    <n v="415.1"/>
    <m/>
    <m/>
    <m/>
    <m/>
    <m/>
    <m/>
    <m/>
    <m/>
    <m/>
  </r>
  <r>
    <x v="7"/>
    <x v="8"/>
    <m/>
    <m/>
    <m/>
    <m/>
    <m/>
    <m/>
    <m/>
    <m/>
    <m/>
    <m/>
    <m/>
    <m/>
    <m/>
    <m/>
  </r>
  <r>
    <x v="11"/>
    <x v="15"/>
    <m/>
    <m/>
    <n v="665.6"/>
    <m/>
    <m/>
    <m/>
    <m/>
    <m/>
    <m/>
    <m/>
    <m/>
    <m/>
    <m/>
    <m/>
  </r>
  <r>
    <x v="4"/>
    <x v="15"/>
    <n v="51.05"/>
    <n v="312.82000000000005"/>
    <m/>
    <m/>
    <n v="96.64"/>
    <m/>
    <m/>
    <m/>
    <m/>
    <m/>
    <m/>
    <m/>
    <m/>
    <n v="20.41"/>
  </r>
  <r>
    <x v="7"/>
    <x v="8"/>
    <m/>
    <m/>
    <m/>
    <m/>
    <m/>
    <m/>
    <m/>
    <m/>
    <m/>
    <m/>
    <m/>
    <m/>
    <m/>
    <m/>
  </r>
  <r>
    <x v="12"/>
    <x v="16"/>
    <n v="51.66"/>
    <m/>
    <m/>
    <m/>
    <n v="588.89"/>
    <m/>
    <m/>
    <m/>
    <m/>
    <m/>
    <m/>
    <m/>
    <m/>
    <m/>
  </r>
  <r>
    <x v="7"/>
    <x v="8"/>
    <m/>
    <m/>
    <m/>
    <m/>
    <m/>
    <m/>
    <m/>
    <m/>
    <m/>
    <m/>
    <m/>
    <m/>
    <m/>
    <m/>
  </r>
  <r>
    <x v="1"/>
    <x v="17"/>
    <m/>
    <m/>
    <n v="272.31"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2"/>
    <x v="18"/>
    <m/>
    <m/>
    <m/>
    <m/>
    <n v="-27.31"/>
    <m/>
    <m/>
    <m/>
    <m/>
    <m/>
    <m/>
    <m/>
    <m/>
    <m/>
  </r>
  <r>
    <x v="13"/>
    <x v="19"/>
    <n v="715.69"/>
    <n v="84.550000000000011"/>
    <m/>
    <m/>
    <m/>
    <m/>
    <m/>
    <m/>
    <m/>
    <n v="220.69230769230768"/>
    <m/>
    <m/>
    <m/>
    <m/>
  </r>
  <r>
    <x v="8"/>
    <x v="19"/>
    <m/>
    <n v="9.58"/>
    <m/>
    <m/>
    <m/>
    <m/>
    <m/>
    <m/>
    <m/>
    <m/>
    <m/>
    <m/>
    <m/>
    <m/>
  </r>
  <r>
    <x v="4"/>
    <x v="19"/>
    <m/>
    <n v="18.75"/>
    <m/>
    <m/>
    <m/>
    <m/>
    <m/>
    <m/>
    <m/>
    <m/>
    <m/>
    <m/>
    <m/>
    <m/>
  </r>
  <r>
    <x v="8"/>
    <x v="19"/>
    <m/>
    <m/>
    <m/>
    <n v="210.5"/>
    <m/>
    <m/>
    <n v="83.5"/>
    <m/>
    <m/>
    <m/>
    <m/>
    <m/>
    <m/>
    <m/>
  </r>
  <r>
    <x v="12"/>
    <x v="19"/>
    <m/>
    <m/>
    <m/>
    <m/>
    <n v="-96.949999999999989"/>
    <m/>
    <m/>
    <m/>
    <m/>
    <m/>
    <m/>
    <m/>
    <m/>
    <m/>
  </r>
  <r>
    <x v="8"/>
    <x v="20"/>
    <m/>
    <m/>
    <m/>
    <m/>
    <m/>
    <n v="218.03000000000003"/>
    <m/>
    <m/>
    <m/>
    <m/>
    <m/>
    <m/>
    <m/>
    <m/>
  </r>
  <r>
    <x v="13"/>
    <x v="20"/>
    <n v="391.41999999999996"/>
    <n v="133.22999999999999"/>
    <m/>
    <m/>
    <m/>
    <m/>
    <m/>
    <n v="224.35"/>
    <m/>
    <n v="80.076923076923066"/>
    <m/>
    <m/>
    <m/>
    <m/>
  </r>
  <r>
    <x v="14"/>
    <x v="20"/>
    <m/>
    <n v="405.45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2"/>
    <x v="20"/>
    <m/>
    <n v="25.56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15"/>
    <x v="21"/>
    <m/>
    <m/>
    <m/>
    <m/>
    <m/>
    <m/>
    <m/>
    <m/>
    <m/>
    <n v="2535.7200000000003"/>
    <m/>
    <m/>
    <m/>
    <m/>
  </r>
  <r>
    <x v="8"/>
    <x v="21"/>
    <m/>
    <m/>
    <m/>
    <m/>
    <m/>
    <n v="89.55"/>
    <m/>
    <m/>
    <m/>
    <m/>
    <m/>
    <m/>
    <m/>
    <m/>
  </r>
  <r>
    <x v="10"/>
    <x v="21"/>
    <m/>
    <m/>
    <m/>
    <m/>
    <m/>
    <m/>
    <m/>
    <m/>
    <m/>
    <n v="1472.4"/>
    <m/>
    <m/>
    <m/>
    <m/>
  </r>
  <r>
    <x v="13"/>
    <x v="21"/>
    <m/>
    <m/>
    <m/>
    <m/>
    <m/>
    <m/>
    <m/>
    <m/>
    <m/>
    <n v="1275.8399999999999"/>
    <m/>
    <m/>
    <m/>
    <m/>
  </r>
  <r>
    <x v="2"/>
    <x v="21"/>
    <m/>
    <n v="8.5"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4"/>
    <x v="20"/>
    <m/>
    <n v="8.91"/>
    <m/>
    <m/>
    <m/>
    <m/>
    <m/>
    <m/>
    <m/>
    <m/>
    <m/>
    <m/>
    <m/>
    <m/>
  </r>
  <r>
    <x v="13"/>
    <x v="21"/>
    <n v="30.45"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  <r>
    <x v="7"/>
    <x v="8"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jointeur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J3:J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jointeur." fld="9" baseField="0" baseItem="15" numFmtId="2"/>
  </dataFields>
  <formats count="13">
    <format dxfId="31">
      <pivotArea outline="0" fieldPosition="0"/>
    </format>
    <format dxfId="30">
      <pivotArea type="all" dataOnly="0" outline="0" fieldPosition="0"/>
    </format>
    <format dxfId="29">
      <pivotArea outline="0" fieldPosition="0"/>
    </format>
    <format dxfId="28">
      <pivotArea dataOnly="0" labelOnly="1" outline="0" axis="axisValues" fieldPosition="0"/>
    </format>
    <format dxfId="27">
      <pivotArea dataOnly="0" labelOnly="1" outline="0" axis="axisValues" fieldPosition="0"/>
    </format>
    <format dxfId="26">
      <pivotArea dataOnly="0" labelOnly="1" outline="0" axis="axisValues" fieldPosition="0"/>
    </format>
    <format dxfId="25">
      <pivotArea dataOnly="0" labelOnly="1" outline="0" axis="axisValues" fieldPosition="0"/>
    </format>
    <format dxfId="24">
      <pivotArea outline="0" fieldPosition="0"/>
    </format>
    <format dxfId="23">
      <pivotArea outline="0" fieldPosition="0"/>
    </format>
    <format dxfId="22">
      <pivotArea outline="0" collapsedLevelsAreSubtotals="1" fieldPosition="0"/>
    </format>
    <format dxfId="21">
      <pivotArea type="all" dataOnly="0" outline="0" fieldPosition="0"/>
    </format>
    <format dxfId="20">
      <pivotArea outline="0" collapsedLevelsAreSubtotals="1" fieldPosition="0"/>
    </format>
    <format dxfId="19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bricolage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N3:N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ricolage." fld="13" baseField="0" baseItem="0" numFmtId="2"/>
  </dataFields>
  <formats count="12">
    <format dxfId="43">
      <pivotArea type="all" dataOnly="0" outline="0" fieldPosition="0"/>
    </format>
    <format dxfId="42">
      <pivotArea outline="0" fieldPosition="0"/>
    </format>
    <format dxfId="41">
      <pivotArea dataOnly="0" labelOnly="1" outline="0" axis="axisValues" fieldPosition="0"/>
    </format>
    <format dxfId="40">
      <pivotArea dataOnly="0" labelOnly="1" outline="0" axis="axisValues" fieldPosition="0"/>
    </format>
    <format dxfId="39">
      <pivotArea dataOnly="0" labelOnly="1" outline="0" axis="axisValues" fieldPosition="0"/>
    </format>
    <format dxfId="38">
      <pivotArea dataOnly="0" labelOnly="1" outline="0" axis="axisValues" fieldPosition="0"/>
    </format>
    <format dxfId="37">
      <pivotArea outline="0" fieldPosition="0"/>
    </format>
    <format dxfId="36">
      <pivotArea outline="0" fieldPosition="0"/>
    </format>
    <format dxfId="35">
      <pivotArea outline="0" collapsedLevelsAreSubtotals="1" fieldPosition="0"/>
    </format>
    <format dxfId="34">
      <pivotArea type="all" dataOnly="0" outline="0" fieldPosition="0"/>
    </format>
    <format dxfId="33">
      <pivotArea outline="0" collapsedLevelsAreSubtotals="1" fieldPosition="0"/>
    </format>
    <format dxfId="32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bois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L3:L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ois." fld="11" baseField="0" baseItem="15" numFmtId="2"/>
  </dataFields>
  <formats count="12">
    <format dxfId="55">
      <pivotArea type="all" dataOnly="0" outline="0" fieldPosition="0"/>
    </format>
    <format dxfId="54">
      <pivotArea outline="0" fieldPosition="0"/>
    </format>
    <format dxfId="53">
      <pivotArea dataOnly="0" labelOnly="1" outline="0" axis="axisValues" fieldPosition="0"/>
    </format>
    <format dxfId="52">
      <pivotArea dataOnly="0" labelOnly="1" outline="0" axis="axisValues" fieldPosition="0"/>
    </format>
    <format dxfId="51">
      <pivotArea dataOnly="0" labelOnly="1" outline="0" axis="axisValues" fieldPosition="0"/>
    </format>
    <format dxfId="50">
      <pivotArea dataOnly="0" labelOnly="1" outline="0" axis="axisValues" fieldPosition="0"/>
    </format>
    <format dxfId="49">
      <pivotArea outline="0" fieldPosition="0"/>
    </format>
    <format dxfId="48">
      <pivotArea outline="0" fieldPosition="0"/>
    </format>
    <format dxfId="47">
      <pivotArea outline="0" collapsedLevelsAreSubtotals="1" fieldPosition="0"/>
    </format>
    <format dxfId="46">
      <pivotArea type="all" dataOnly="0" outline="0" fieldPosition="0"/>
    </format>
    <format dxfId="45">
      <pivotArea outline="0" collapsedLevelsAreSubtotals="1" fieldPosition="0"/>
    </format>
    <format dxfId="44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escalier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O3:O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escalier." fld="14" baseField="0" baseItem="0" numFmtId="2"/>
  </dataFields>
  <formats count="12">
    <format dxfId="67">
      <pivotArea type="all" dataOnly="0" outline="0" fieldPosition="0"/>
    </format>
    <format dxfId="66">
      <pivotArea outline="0" fieldPosition="0"/>
    </format>
    <format dxfId="65">
      <pivotArea dataOnly="0" labelOnly="1" outline="0" axis="axisValues" fieldPosition="0"/>
    </format>
    <format dxfId="64">
      <pivotArea dataOnly="0" labelOnly="1" outline="0" axis="axisValues" fieldPosition="0"/>
    </format>
    <format dxfId="63">
      <pivotArea dataOnly="0" labelOnly="1" outline="0" axis="axisValues" fieldPosition="0"/>
    </format>
    <format dxfId="62">
      <pivotArea dataOnly="0" labelOnly="1" outline="0" axis="axisValues" fieldPosition="0"/>
    </format>
    <format dxfId="61">
      <pivotArea outline="0" fieldPosition="0"/>
    </format>
    <format dxfId="60">
      <pivotArea outline="0" fieldPosition="0"/>
    </format>
    <format dxfId="59">
      <pivotArea outline="0" collapsedLevelsAreSubtotals="1" fieldPosition="0"/>
    </format>
    <format dxfId="58">
      <pivotArea type="all" dataOnly="0" outline="0" fieldPosition="0"/>
    </format>
    <format dxfId="57">
      <pivotArea outline="0" collapsedLevelsAreSubtotals="1" fieldPosition="0"/>
    </format>
    <format dxfId="56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divers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P3:P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howAll="0" defaultSubtotal="0"/>
  </pivotFields>
  <rowItems count="1">
    <i/>
  </rowItems>
  <colItems count="1">
    <i/>
  </colItems>
  <dataFields count="1">
    <dataField name="nord blayais." fld="15" baseField="0" baseItem="0"/>
  </dataFields>
  <formats count="13">
    <format dxfId="80">
      <pivotArea type="all" dataOnly="0" outline="0" fieldPosition="0"/>
    </format>
    <format dxfId="79">
      <pivotArea outline="0" fieldPosition="0"/>
    </format>
    <format dxfId="78">
      <pivotArea dataOnly="0" labelOnly="1" outline="0" axis="axisValues" fieldPosition="0"/>
    </format>
    <format dxfId="77">
      <pivotArea dataOnly="0" labelOnly="1" outline="0" axis="axisValues" fieldPosition="0"/>
    </format>
    <format dxfId="76">
      <pivotArea dataOnly="0" labelOnly="1" outline="0" axis="axisValues" fieldPosition="0"/>
    </format>
    <format dxfId="75">
      <pivotArea dataOnly="0" labelOnly="1" outline="0" axis="axisValues" fieldPosition="0"/>
    </format>
    <format dxfId="74">
      <pivotArea outline="0" fieldPosition="0"/>
    </format>
    <format dxfId="73">
      <pivotArea outline="0" fieldPosition="0"/>
    </format>
    <format dxfId="72">
      <pivotArea outline="0" collapsedLevelsAreSubtotals="1" fieldPosition="0"/>
    </format>
    <format dxfId="71">
      <pivotArea dataOnly="0" labelOnly="1" outline="0" axis="axisValues" fieldPosition="0"/>
    </format>
    <format dxfId="70">
      <pivotArea type="all" dataOnly="0" outline="0" fieldPosition="0"/>
    </format>
    <format dxfId="69">
      <pivotArea outline="0" collapsedLevelsAreSubtotals="1" fieldPosition="0"/>
    </format>
    <format dxfId="68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pointp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C3:C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point p." fld="2" baseField="0" baseItem="15" numFmtId="2"/>
  </dataFields>
  <formats count="13">
    <format dxfId="93">
      <pivotArea outline="0" fieldPosition="0"/>
    </format>
    <format dxfId="92">
      <pivotArea type="all" dataOnly="0" outline="0" fieldPosition="0"/>
    </format>
    <format dxfId="91">
      <pivotArea outline="0" fieldPosition="0"/>
    </format>
    <format dxfId="90">
      <pivotArea dataOnly="0" labelOnly="1" outline="0" axis="axisValues" fieldPosition="0"/>
    </format>
    <format dxfId="89">
      <pivotArea dataOnly="0" labelOnly="1" outline="0" axis="axisValues" fieldPosition="0"/>
    </format>
    <format dxfId="88">
      <pivotArea dataOnly="0" labelOnly="1" outline="0" axis="axisValues" fieldPosition="0"/>
    </format>
    <format dxfId="87">
      <pivotArea dataOnly="0" labelOnly="1" outline="0" axis="axisValues" fieldPosition="0"/>
    </format>
    <format dxfId="86">
      <pivotArea outline="0" fieldPosition="0"/>
    </format>
    <format dxfId="85">
      <pivotArea outline="0" fieldPosition="0"/>
    </format>
    <format dxfId="84">
      <pivotArea outline="0" collapsedLevelsAreSubtotals="1" fieldPosition="0"/>
    </format>
    <format dxfId="83">
      <pivotArea type="all" dataOnly="0" outline="0" fieldPosition="0"/>
    </format>
    <format dxfId="82">
      <pivotArea outline="0" collapsedLevelsAreSubtotals="1" fieldPosition="0"/>
    </format>
    <format dxfId="81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cged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K3:K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cged." fld="10" baseField="0" baseItem="15" numFmtId="2"/>
  </dataFields>
  <formats count="12">
    <format dxfId="105">
      <pivotArea type="all" dataOnly="0" outline="0" fieldPosition="0"/>
    </format>
    <format dxfId="104">
      <pivotArea outline="0" fieldPosition="0"/>
    </format>
    <format dxfId="103">
      <pivotArea dataOnly="0" labelOnly="1" outline="0" axis="axisValues" fieldPosition="0"/>
    </format>
    <format dxfId="102">
      <pivotArea dataOnly="0" labelOnly="1" outline="0" axis="axisValues" fieldPosition="0"/>
    </format>
    <format dxfId="101">
      <pivotArea dataOnly="0" labelOnly="1" outline="0" axis="axisValues" fieldPosition="0"/>
    </format>
    <format dxfId="100">
      <pivotArea dataOnly="0" labelOnly="1" outline="0" axis="axisValues" fieldPosition="0"/>
    </format>
    <format dxfId="99">
      <pivotArea outline="0" fieldPosition="0"/>
    </format>
    <format dxfId="98">
      <pivotArea outline="0" fieldPosition="0"/>
    </format>
    <format dxfId="97">
      <pivotArea outline="0" collapsedLevelsAreSubtotals="1" fieldPosition="0"/>
    </format>
    <format dxfId="96">
      <pivotArea type="all" dataOnly="0" outline="0" fieldPosition="0"/>
    </format>
    <format dxfId="95">
      <pivotArea outline="0" collapsedLevelsAreSubtotals="1" fieldPosition="0"/>
    </format>
    <format dxfId="94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dechetterie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M3:M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dechetterie." fld="12" baseField="0" baseItem="0" numFmtId="2"/>
  </dataFields>
  <formats count="12">
    <format dxfId="117">
      <pivotArea type="all" dataOnly="0" outline="0" fieldPosition="0"/>
    </format>
    <format dxfId="116">
      <pivotArea outline="0" fieldPosition="0"/>
    </format>
    <format dxfId="115">
      <pivotArea dataOnly="0" labelOnly="1" outline="0" axis="axisValues" fieldPosition="0"/>
    </format>
    <format dxfId="114">
      <pivotArea dataOnly="0" labelOnly="1" outline="0" axis="axisValues" fieldPosition="0"/>
    </format>
    <format dxfId="113">
      <pivotArea dataOnly="0" labelOnly="1" outline="0" axis="axisValues" fieldPosition="0"/>
    </format>
    <format dxfId="112">
      <pivotArea dataOnly="0" labelOnly="1" outline="0" axis="axisValues" fieldPosition="0"/>
    </format>
    <format dxfId="111">
      <pivotArea outline="0" fieldPosition="0"/>
    </format>
    <format dxfId="110">
      <pivotArea outline="0" fieldPosition="0"/>
    </format>
    <format dxfId="109">
      <pivotArea outline="0" collapsedLevelsAreSubtotals="1" fieldPosition="0"/>
    </format>
    <format dxfId="108">
      <pivotArea type="all" dataOnly="0" outline="0" fieldPosition="0"/>
    </format>
    <format dxfId="107">
      <pivotArea outline="0" collapsedLevelsAreSubtotals="1" fieldPosition="0"/>
    </format>
    <format dxfId="106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bdr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F3:F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bdr." fld="5" baseField="0" baseItem="0" numFmtId="2"/>
  </dataFields>
  <formats count="13">
    <format dxfId="130">
      <pivotArea outline="0" fieldPosition="0"/>
    </format>
    <format dxfId="129">
      <pivotArea type="all" dataOnly="0" outline="0" fieldPosition="0"/>
    </format>
    <format dxfId="128">
      <pivotArea outline="0" fieldPosition="0"/>
    </format>
    <format dxfId="127">
      <pivotArea dataOnly="0" labelOnly="1" outline="0" axis="axisValues" fieldPosition="0"/>
    </format>
    <format dxfId="126">
      <pivotArea dataOnly="0" labelOnly="1" outline="0" axis="axisValues" fieldPosition="0"/>
    </format>
    <format dxfId="125">
      <pivotArea dataOnly="0" labelOnly="1" outline="0" axis="axisValues" fieldPosition="0"/>
    </format>
    <format dxfId="124">
      <pivotArea dataOnly="0" labelOnly="1" outline="0" axis="axisValues" fieldPosition="0"/>
    </format>
    <format dxfId="123">
      <pivotArea outline="0" fieldPosition="0"/>
    </format>
    <format dxfId="122">
      <pivotArea outline="0" fieldPosition="0"/>
    </format>
    <format dxfId="121">
      <pivotArea outline="0" collapsedLevelsAreSubtotals="1" fieldPosition="0"/>
    </format>
    <format dxfId="120">
      <pivotArea type="all" dataOnly="0" outline="0" fieldPosition="0"/>
    </format>
    <format dxfId="119">
      <pivotArea outline="0" collapsedLevelsAreSubtotals="1" fieldPosition="0"/>
    </format>
    <format dxfId="118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dispano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G3:G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dispano." fld="6" baseField="0" baseItem="0" numFmtId="2"/>
  </dataFields>
  <formats count="13">
    <format dxfId="143">
      <pivotArea outline="0" fieldPosition="0"/>
    </format>
    <format dxfId="142">
      <pivotArea type="all" dataOnly="0" outline="0" fieldPosition="0"/>
    </format>
    <format dxfId="141">
      <pivotArea outline="0" fieldPosition="0"/>
    </format>
    <format dxfId="140">
      <pivotArea dataOnly="0" labelOnly="1" outline="0" axis="axisValues" fieldPosition="0"/>
    </format>
    <format dxfId="139">
      <pivotArea dataOnly="0" labelOnly="1" outline="0" axis="axisValues" fieldPosition="0"/>
    </format>
    <format dxfId="138">
      <pivotArea dataOnly="0" labelOnly="1" outline="0" axis="axisValues" fieldPosition="0"/>
    </format>
    <format dxfId="137">
      <pivotArea dataOnly="0" labelOnly="1" outline="0" axis="axisValues" fieldPosition="0"/>
    </format>
    <format dxfId="136">
      <pivotArea outline="0" fieldPosition="0"/>
    </format>
    <format dxfId="135">
      <pivotArea outline="0" fieldPosition="0"/>
    </format>
    <format dxfId="134">
      <pivotArea outline="0" collapsedLevelsAreSubtotals="1" fieldPosition="0"/>
    </format>
    <format dxfId="133">
      <pivotArea type="all" dataOnly="0" outline="0" fieldPosition="0"/>
    </format>
    <format dxfId="132">
      <pivotArea outline="0" collapsedLevelsAreSubtotals="1" fieldPosition="0"/>
    </format>
    <format dxfId="131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raoult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D3:D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raoult." fld="3" baseField="0" baseItem="15" numFmtId="2"/>
  </dataFields>
  <formats count="13">
    <format dxfId="156">
      <pivotArea outline="0" fieldPosition="0"/>
    </format>
    <format dxfId="155">
      <pivotArea type="all" dataOnly="0" outline="0" fieldPosition="0"/>
    </format>
    <format dxfId="154">
      <pivotArea outline="0" fieldPosition="0"/>
    </format>
    <format dxfId="153">
      <pivotArea dataOnly="0" labelOnly="1" outline="0" axis="axisValues" fieldPosition="0"/>
    </format>
    <format dxfId="152">
      <pivotArea dataOnly="0" labelOnly="1" outline="0" axis="axisValues" fieldPosition="0"/>
    </format>
    <format dxfId="151">
      <pivotArea dataOnly="0" labelOnly="1" outline="0" axis="axisValues" fieldPosition="0"/>
    </format>
    <format dxfId="150">
      <pivotArea dataOnly="0" labelOnly="1" outline="0" axis="axisValues" fieldPosition="0"/>
    </format>
    <format dxfId="149">
      <pivotArea outline="0" fieldPosition="0"/>
    </format>
    <format dxfId="148">
      <pivotArea outline="0" fieldPosition="0"/>
    </format>
    <format dxfId="147">
      <pivotArea outline="0" collapsedLevelsAreSubtotals="1" fieldPosition="0"/>
    </format>
    <format dxfId="146">
      <pivotArea type="all" dataOnly="0" outline="0" fieldPosition="0"/>
    </format>
    <format dxfId="145">
      <pivotArea outline="0" collapsedLevelsAreSubtotals="1" fieldPosition="0"/>
    </format>
    <format dxfId="144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wurth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I3:I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wurth." fld="8" baseField="0" baseItem="0" numFmtId="2"/>
  </dataFields>
  <formats count="13">
    <format dxfId="169">
      <pivotArea outline="0" fieldPosition="0"/>
    </format>
    <format dxfId="168">
      <pivotArea type="all" dataOnly="0" outline="0" fieldPosition="0"/>
    </format>
    <format dxfId="167">
      <pivotArea outline="0" fieldPosition="0"/>
    </format>
    <format dxfId="166">
      <pivotArea dataOnly="0" labelOnly="1" outline="0" axis="axisValues" fieldPosition="0"/>
    </format>
    <format dxfId="165">
      <pivotArea dataOnly="0" labelOnly="1" outline="0" axis="axisValues" fieldPosition="0"/>
    </format>
    <format dxfId="164">
      <pivotArea dataOnly="0" labelOnly="1" outline="0" axis="axisValues" fieldPosition="0"/>
    </format>
    <format dxfId="163">
      <pivotArea dataOnly="0" labelOnly="1" outline="0" axis="axisValues" fieldPosition="0"/>
    </format>
    <format dxfId="162">
      <pivotArea outline="0" fieldPosition="0"/>
    </format>
    <format dxfId="161">
      <pivotArea outline="0" fieldPosition="0"/>
    </format>
    <format dxfId="160">
      <pivotArea outline="0" collapsedLevelsAreSubtotals="1" fieldPosition="0"/>
    </format>
    <format dxfId="159">
      <pivotArea type="all" dataOnly="0" outline="0" fieldPosition="0"/>
    </format>
    <format dxfId="158">
      <pivotArea outline="0" collapsedLevelsAreSubtotals="1" fieldPosition="0"/>
    </format>
    <format dxfId="157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fenetra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E3:E4" firstHeaderRow="1" firstDataRow="1" firstDataCol="0"/>
  <pivotFields count="16">
    <pivotField compact="0" outline="0" subtotalTop="0" showAll="0" includeNewItemsInFilter="1">
      <items count="32">
        <item h="1" x="2"/>
        <item h="1" m="1" x="23"/>
        <item h="1" m="1" x="21"/>
        <item h="1" m="1" x="28"/>
        <item h="1" x="14"/>
        <item h="1" m="1" x="30"/>
        <item h="1" m="1" x="18"/>
        <item h="1" m="1" x="24"/>
        <item h="1" m="1" x="29"/>
        <item h="1" m="1" x="26"/>
        <item h="1" m="1" x="17"/>
        <item h="1" x="15"/>
        <item h="1" x="6"/>
        <item h="1" x="5"/>
        <item h="1" m="1" x="20"/>
        <item h="1" x="12"/>
        <item h="1" m="1" x="19"/>
        <item h="1" x="10"/>
        <item h="1" m="1" x="25"/>
        <item h="1" x="11"/>
        <item h="1" m="1" x="27"/>
        <item h="1" m="1" x="16"/>
        <item h="1" x="9"/>
        <item h="1" x="4"/>
        <item h="1" x="1"/>
        <item h="1" m="1" x="22"/>
        <item h="1" x="0"/>
        <item h="1" x="13"/>
        <item h="1" x="3"/>
        <item x="8"/>
        <item h="1"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dataFields count="1">
    <dataField name="fenetrea." fld="4" baseField="0" baseItem="0" numFmtId="2"/>
  </dataFields>
  <formats count="13">
    <format dxfId="182">
      <pivotArea outline="0" fieldPosition="0"/>
    </format>
    <format dxfId="181">
      <pivotArea type="all" dataOnly="0" outline="0" fieldPosition="0"/>
    </format>
    <format dxfId="180">
      <pivotArea outline="0" fieldPosition="0"/>
    </format>
    <format dxfId="179">
      <pivotArea dataOnly="0" labelOnly="1" outline="0" axis="axisValues" fieldPosition="0"/>
    </format>
    <format dxfId="178">
      <pivotArea dataOnly="0" labelOnly="1" outline="0" axis="axisValues" fieldPosition="0"/>
    </format>
    <format dxfId="177">
      <pivotArea dataOnly="0" labelOnly="1" outline="0" axis="axisValues" fieldPosition="0"/>
    </format>
    <format dxfId="176">
      <pivotArea dataOnly="0" labelOnly="1" outline="0" axis="axisValues" fieldPosition="0"/>
    </format>
    <format dxfId="175">
      <pivotArea outline="0" fieldPosition="0"/>
    </format>
    <format dxfId="174">
      <pivotArea outline="0" fieldPosition="0"/>
    </format>
    <format dxfId="173">
      <pivotArea outline="0" collapsedLevelsAreSubtotals="1" fieldPosition="0"/>
    </format>
    <format dxfId="172">
      <pivotArea type="all" dataOnly="0" outline="0" fieldPosition="0"/>
    </format>
    <format dxfId="171">
      <pivotArea outline="0" collapsedLevelsAreSubtotals="1" fieldPosition="0"/>
    </format>
    <format dxfId="170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lc bois" cacheId="1" dataOnRows="1" applyNumberFormats="0" applyBorderFormats="0" applyFontFormats="0" applyPatternFormats="0" applyAlignmentFormats="0" applyWidthHeightFormats="1" dataCaption="Données" updatedVersion="5" minRefreshableVersion="3" showMemberPropertyTips="0" itemPrintTitles="1" createdVersion="5" indent="0" compact="0" compactData="0" multipleFieldFilters="0">
  <location ref="H3:H4" firstHeaderRow="1" firstDataRow="1" firstDataCol="0" rowPageCount="1" colPageCount="1"/>
  <pivotFields count="16">
    <pivotField axis="axisPage" compact="0" outline="0" subtotalTop="0" showAll="0" includeNewItemsInFilter="1">
      <items count="32">
        <item x="2"/>
        <item m="1" x="23"/>
        <item m="1" x="21"/>
        <item m="1" x="28"/>
        <item x="14"/>
        <item m="1" x="30"/>
        <item m="1" x="18"/>
        <item m="1" x="24"/>
        <item m="1" x="29"/>
        <item m="1" x="26"/>
        <item m="1" x="17"/>
        <item x="15"/>
        <item x="6"/>
        <item x="5"/>
        <item m="1" x="20"/>
        <item x="12"/>
        <item m="1" x="19"/>
        <item x="10"/>
        <item m="1" x="25"/>
        <item x="11"/>
        <item m="1" x="27"/>
        <item m="1" x="16"/>
        <item x="9"/>
        <item x="4"/>
        <item x="1"/>
        <item m="1" x="22"/>
        <item x="0"/>
        <item x="13"/>
        <item x="3"/>
        <item x="8"/>
        <item x="7"/>
        <item t="default"/>
      </items>
    </pivotField>
    <pivotField compact="0" outline="0" subtotalTop="0" showAll="0" includeNewItemsInFilter="1">
      <items count="24">
        <item x="0"/>
        <item x="1"/>
        <item x="2"/>
        <item x="3"/>
        <item x="4"/>
        <item x="5"/>
        <item x="6"/>
        <item x="7"/>
        <item x="9"/>
        <item x="10"/>
        <item x="11"/>
        <item x="12"/>
        <item x="13"/>
        <item x="14"/>
        <item x="15"/>
        <item x="16"/>
        <item x="17"/>
        <item m="1" x="22"/>
        <item x="18"/>
        <item x="19"/>
        <item x="20"/>
        <item x="21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</pivotFields>
  <rowItems count="1">
    <i/>
  </rowItems>
  <colItems count="1">
    <i/>
  </colItems>
  <pageFields count="1">
    <pageField fld="0" item="29" hier="-1"/>
  </pageFields>
  <dataFields count="1">
    <dataField name="lc bois." fld="7" baseField="0" baseItem="0" numFmtId="2"/>
  </dataFields>
  <formats count="13">
    <format dxfId="195">
      <pivotArea outline="0" fieldPosition="0"/>
    </format>
    <format dxfId="194">
      <pivotArea type="all" dataOnly="0" outline="0" fieldPosition="0"/>
    </format>
    <format dxfId="193">
      <pivotArea outline="0" fieldPosition="0"/>
    </format>
    <format dxfId="192">
      <pivotArea dataOnly="0" labelOnly="1" outline="0" axis="axisValues" fieldPosition="0"/>
    </format>
    <format dxfId="191">
      <pivotArea dataOnly="0" labelOnly="1" outline="0" axis="axisValues" fieldPosition="0"/>
    </format>
    <format dxfId="190">
      <pivotArea dataOnly="0" labelOnly="1" outline="0" axis="axisValues" fieldPosition="0"/>
    </format>
    <format dxfId="189">
      <pivotArea dataOnly="0" labelOnly="1" outline="0" axis="axisValues" fieldPosition="0"/>
    </format>
    <format dxfId="188">
      <pivotArea outline="0" fieldPosition="0"/>
    </format>
    <format dxfId="187">
      <pivotArea outline="0" fieldPosition="0"/>
    </format>
    <format dxfId="186">
      <pivotArea outline="0" collapsedLevelsAreSubtotals="1" fieldPosition="0"/>
    </format>
    <format dxfId="185">
      <pivotArea type="all" dataOnly="0" outline="0" fieldPosition="0"/>
    </format>
    <format dxfId="184">
      <pivotArea outline="0" collapsedLevelsAreSubtotals="1" fieldPosition="0"/>
    </format>
    <format dxfId="183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4" name="jointeur"/>
    <pivotTable tabId="24" name="bdr"/>
    <pivotTable tabId="24" name="bois"/>
    <pivotTable tabId="24" name="bricolage"/>
    <pivotTable tabId="24" name="cged"/>
    <pivotTable tabId="24" name="dechetterie"/>
    <pivotTable tabId="24" name="dispano"/>
    <pivotTable tabId="24" name="divers"/>
    <pivotTable tabId="24" name="escalier"/>
    <pivotTable tabId="24" name="fenetra"/>
    <pivotTable tabId="24" name="lc bois"/>
    <pivotTable tabId="24" name="pointp"/>
    <pivotTable tabId="24" name="raoult"/>
    <pivotTable tabId="24" name="wurth"/>
  </pivotTables>
  <data>
    <tabular pivotCacheId="1">
      <items count="23">
        <i x="12" s="1"/>
        <i x="13" s="1"/>
        <i x="19" s="1"/>
        <i x="20" s="1"/>
        <i x="21" s="1"/>
        <i x="0" s="1" nd="1"/>
        <i x="1" s="1" nd="1"/>
        <i x="2" s="1" nd="1"/>
        <i x="3" s="1" nd="1"/>
        <i x="4" s="1" nd="1"/>
        <i x="5" s="1" nd="1"/>
        <i x="6" s="1" nd="1"/>
        <i x="7" s="1" nd="1"/>
        <i x="9" s="1" nd="1"/>
        <i x="10" s="1" nd="1"/>
        <i x="11" s="1" nd="1"/>
        <i x="14" s="1" nd="1"/>
        <i x="15" s="1" nd="1"/>
        <i x="16" s="1" nd="1"/>
        <i x="17" s="1" nd="1"/>
        <i x="22" s="1" nd="1"/>
        <i x="18" s="1" nd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s" sourceName="clients">
  <pivotTables>
    <pivotTable tabId="24" name="jointeur"/>
    <pivotTable tabId="24" name="bdr"/>
    <pivotTable tabId="24" name="bois"/>
    <pivotTable tabId="24" name="bricolage"/>
    <pivotTable tabId="24" name="cged"/>
    <pivotTable tabId="24" name="dechetterie"/>
    <pivotTable tabId="24" name="dispano"/>
    <pivotTable tabId="24" name="divers"/>
    <pivotTable tabId="24" name="escalier"/>
    <pivotTable tabId="24" name="fenetra"/>
    <pivotTable tabId="24" name="lc bois"/>
    <pivotTable tabId="24" name="pointp"/>
    <pivotTable tabId="24" name="raoult"/>
    <pivotTable tabId="24" name="wurth"/>
  </pivotTables>
  <data>
    <tabular pivotCacheId="1">
      <items count="31">
        <i x="2"/>
        <i x="14"/>
        <i x="15"/>
        <i x="6"/>
        <i x="5"/>
        <i x="12"/>
        <i x="10"/>
        <i x="11"/>
        <i x="9"/>
        <i x="4"/>
        <i x="1"/>
        <i x="0"/>
        <i x="13"/>
        <i x="3"/>
        <i x="8" s="1"/>
        <i x="23" nd="1"/>
        <i x="21" nd="1"/>
        <i x="28" nd="1"/>
        <i x="30" nd="1"/>
        <i x="18" nd="1"/>
        <i x="24" nd="1"/>
        <i x="29" nd="1"/>
        <i x="26" nd="1"/>
        <i x="17" nd="1"/>
        <i x="20" nd="1"/>
        <i x="19" nd="1"/>
        <i x="25" nd="1"/>
        <i x="27" nd="1"/>
        <i x="16" nd="1"/>
        <i x="22" nd="1"/>
        <i x="7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s 1" cache="Segment_clients" caption="clients" columnCount="2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2" rowHeight="180000"/>
  <slicer name="clients" cache="Segment_clients" caption="clients" columnCount="2" rowHeight="225425"/>
</slicers>
</file>

<file path=xl/tables/table1.xml><?xml version="1.0" encoding="utf-8"?>
<table xmlns="http://schemas.openxmlformats.org/spreadsheetml/2006/main" id="1" name="général" displayName="général" ref="A9:P210" totalsRowShown="0" headerRowDxfId="18" dataDxfId="16" headerRowBorderDxfId="17">
  <autoFilter ref="A9:P2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clients" dataDxfId="15"/>
    <tableColumn id="2" name="mois" dataDxfId="14"/>
    <tableColumn id="3" name="point p" dataDxfId="13"/>
    <tableColumn id="4" name="raoult" dataDxfId="12"/>
    <tableColumn id="5" name="fenetrea" dataDxfId="11"/>
    <tableColumn id="6" name="bdr" dataDxfId="10"/>
    <tableColumn id="7" name="dispano" dataDxfId="9"/>
    <tableColumn id="8" name="lc bois" dataDxfId="8"/>
    <tableColumn id="9" name="wurth" dataDxfId="7"/>
    <tableColumn id="10" name="jointeur" dataDxfId="6"/>
    <tableColumn id="11" name="cged" dataDxfId="5"/>
    <tableColumn id="12" name="bois" dataDxfId="4"/>
    <tableColumn id="13" name="dechetterie" dataDxfId="3"/>
    <tableColumn id="14" name="bricolage" dataDxfId="2"/>
    <tableColumn id="15" name="escalier" dataDxfId="1"/>
    <tableColumn id="16" name="nord blayai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touvronthierry@wanadoo.fr" TargetMode="External"/><Relationship Id="rId2" Type="http://schemas.openxmlformats.org/officeDocument/2006/relationships/hyperlink" Target="mailto:mcmahonpaul@wanadoo.fr" TargetMode="External"/><Relationship Id="rId1" Type="http://schemas.openxmlformats.org/officeDocument/2006/relationships/hyperlink" Target="mailto:charpiat.kf@wanadoo.fr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pivotTable" Target="../pivotTables/pivotTable13.xml"/><Relationship Id="rId18" Type="http://schemas.microsoft.com/office/2007/relationships/slicer" Target="../slicers/slicer2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17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6" Type="http://schemas.openxmlformats.org/officeDocument/2006/relationships/drawing" Target="../drawings/drawing4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5" Type="http://schemas.openxmlformats.org/officeDocument/2006/relationships/printerSettings" Target="../printerSettings/printerSettings6.bin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3:BE83"/>
  <sheetViews>
    <sheetView showZeros="0" view="pageBreakPreview" topLeftCell="A25" zoomScale="50" zoomScaleNormal="75" zoomScaleSheetLayoutView="50" workbookViewId="0">
      <selection activeCell="D32" sqref="D32:S32"/>
    </sheetView>
  </sheetViews>
  <sheetFormatPr baseColWidth="10" defaultRowHeight="12.75" outlineLevelRow="1"/>
  <cols>
    <col min="1" max="1" width="4" style="9" customWidth="1"/>
    <col min="2" max="2" width="2.5703125" style="9" customWidth="1"/>
    <col min="3" max="3" width="5.7109375" style="201" customWidth="1"/>
    <col min="4" max="7" width="5" style="9" customWidth="1"/>
    <col min="8" max="8" width="19.42578125" style="9" customWidth="1"/>
    <col min="9" max="13" width="5" style="9" customWidth="1"/>
    <col min="14" max="14" width="19" style="9" customWidth="1"/>
    <col min="15" max="18" width="5" style="9" customWidth="1"/>
    <col min="19" max="19" width="32" style="9" customWidth="1"/>
    <col min="20" max="20" width="4.140625" style="9" hidden="1" customWidth="1"/>
    <col min="21" max="21" width="10.140625" style="9" customWidth="1"/>
    <col min="22" max="22" width="4" style="9" customWidth="1"/>
    <col min="23" max="23" width="4.42578125" style="9" customWidth="1"/>
    <col min="24" max="24" width="6.42578125" style="9" customWidth="1"/>
    <col min="25" max="25" width="10.85546875" style="9" customWidth="1"/>
    <col min="26" max="26" width="5" style="9" customWidth="1"/>
    <col min="27" max="27" width="12.85546875" style="9" customWidth="1"/>
    <col min="28" max="28" width="2.5703125" style="9" customWidth="1"/>
    <col min="29" max="29" width="2" style="9" customWidth="1"/>
    <col min="30" max="30" width="4.42578125" style="9" customWidth="1"/>
    <col min="31" max="31" width="23.42578125" style="9" customWidth="1"/>
    <col min="32" max="32" width="8" style="9" customWidth="1"/>
    <col min="33" max="33" width="7.42578125" style="9" customWidth="1"/>
    <col min="34" max="34" width="71.140625" style="9" customWidth="1"/>
    <col min="35" max="35" width="8" style="9" customWidth="1"/>
    <col min="36" max="16384" width="11.42578125" style="9"/>
  </cols>
  <sheetData>
    <row r="3" spans="2:34" ht="12.75" customHeight="1">
      <c r="B3" s="418" t="s">
        <v>1162</v>
      </c>
      <c r="C3" s="419"/>
      <c r="D3" s="419"/>
      <c r="E3" s="419"/>
      <c r="F3" s="419"/>
      <c r="G3" s="419"/>
      <c r="H3" s="419"/>
      <c r="I3" s="419"/>
      <c r="J3" s="419"/>
      <c r="K3" s="419"/>
      <c r="L3" s="419"/>
      <c r="M3" s="419"/>
      <c r="N3" s="419"/>
      <c r="O3" s="419"/>
      <c r="P3" s="419"/>
      <c r="Q3" s="419"/>
      <c r="R3" s="419"/>
      <c r="S3" s="419"/>
      <c r="T3" s="419"/>
      <c r="U3" s="419"/>
      <c r="V3" s="419"/>
      <c r="W3" s="419"/>
      <c r="X3" s="419"/>
      <c r="Y3" s="419"/>
      <c r="Z3" s="419"/>
      <c r="AA3" s="419"/>
      <c r="AB3" s="419"/>
      <c r="AC3" s="52"/>
    </row>
    <row r="4" spans="2:34" ht="12.75" customHeight="1">
      <c r="B4" s="419"/>
      <c r="C4" s="419"/>
      <c r="D4" s="419"/>
      <c r="E4" s="419"/>
      <c r="F4" s="419"/>
      <c r="G4" s="419"/>
      <c r="H4" s="419"/>
      <c r="I4" s="419"/>
      <c r="J4" s="419"/>
      <c r="K4" s="419"/>
      <c r="L4" s="419"/>
      <c r="M4" s="419"/>
      <c r="N4" s="419"/>
      <c r="O4" s="419"/>
      <c r="P4" s="419"/>
      <c r="Q4" s="419"/>
      <c r="R4" s="419"/>
      <c r="S4" s="419"/>
      <c r="T4" s="419"/>
      <c r="U4" s="419"/>
      <c r="V4" s="419"/>
      <c r="W4" s="419"/>
      <c r="X4" s="419"/>
      <c r="Y4" s="419"/>
      <c r="Z4" s="419"/>
      <c r="AA4" s="419"/>
      <c r="AB4" s="419"/>
      <c r="AG4" s="107"/>
      <c r="AH4" s="107"/>
    </row>
    <row r="5" spans="2:34" ht="26.25">
      <c r="AE5" s="5" t="s">
        <v>447</v>
      </c>
      <c r="AF5" s="53"/>
      <c r="AG5" s="113" t="s">
        <v>740</v>
      </c>
    </row>
    <row r="6" spans="2:34" ht="26.25">
      <c r="AE6" s="5" t="s">
        <v>2</v>
      </c>
      <c r="AF6" s="106" t="s">
        <v>1687</v>
      </c>
      <c r="AG6" s="113" t="s">
        <v>1161</v>
      </c>
    </row>
    <row r="7" spans="2:34" ht="26.25">
      <c r="D7" s="54"/>
      <c r="K7" s="54"/>
      <c r="X7" s="55"/>
      <c r="AE7" s="5" t="s">
        <v>624</v>
      </c>
      <c r="AF7" s="106" t="s">
        <v>1688</v>
      </c>
      <c r="AG7" s="113" t="s">
        <v>1689</v>
      </c>
    </row>
    <row r="8" spans="2:34" ht="26.25">
      <c r="D8" s="54"/>
      <c r="F8" s="56"/>
      <c r="G8" s="56"/>
      <c r="H8" s="57"/>
      <c r="I8" s="56"/>
      <c r="J8" s="56"/>
      <c r="K8" s="54"/>
      <c r="X8" s="55"/>
      <c r="AE8" s="5" t="s">
        <v>276</v>
      </c>
      <c r="AG8" s="113" t="s">
        <v>1155</v>
      </c>
    </row>
    <row r="9" spans="2:34" ht="25.5">
      <c r="D9" s="54"/>
      <c r="F9" s="56"/>
      <c r="G9" s="56"/>
      <c r="H9" s="56"/>
      <c r="I9" s="56"/>
      <c r="J9" s="56"/>
      <c r="K9" s="54"/>
      <c r="R9" s="58"/>
      <c r="AE9" s="104" t="s">
        <v>1686</v>
      </c>
    </row>
    <row r="10" spans="2:34" ht="17.25" customHeight="1">
      <c r="D10" s="54"/>
      <c r="F10" s="56"/>
      <c r="G10" s="56"/>
      <c r="H10" s="56"/>
      <c r="I10" s="56"/>
      <c r="J10" s="56"/>
      <c r="K10" s="54"/>
      <c r="R10" s="58"/>
      <c r="T10" s="59"/>
      <c r="U10" s="59"/>
      <c r="V10" s="59"/>
      <c r="W10" s="59"/>
      <c r="X10" s="59"/>
      <c r="Y10" s="59"/>
    </row>
    <row r="11" spans="2:34" ht="30" customHeight="1">
      <c r="C11" s="60"/>
      <c r="D11" s="61"/>
      <c r="E11" s="62"/>
      <c r="F11" s="63"/>
      <c r="G11" s="63"/>
      <c r="H11" s="63"/>
      <c r="I11" s="63"/>
      <c r="J11" s="56"/>
      <c r="K11" s="54"/>
      <c r="R11" s="58"/>
      <c r="S11" s="64" t="e">
        <f>CONCATENATE(VLOOKUP(AE17,Clients!B3:K702,2),VLOOKUP(AE17,Clients!B3:K702,3)," ",VLOOKUP(AE17,Clients!B3:K702,4))</f>
        <v>#N/A</v>
      </c>
      <c r="T11" s="65"/>
      <c r="U11" s="65"/>
      <c r="V11" s="65"/>
      <c r="W11" s="59"/>
      <c r="X11" s="59"/>
      <c r="Y11" s="59"/>
      <c r="AD11" s="8"/>
    </row>
    <row r="12" spans="2:34" ht="26.25">
      <c r="C12" s="60"/>
      <c r="D12" s="66"/>
      <c r="E12" s="61"/>
      <c r="F12" s="63"/>
      <c r="G12" s="63"/>
      <c r="H12" s="63"/>
      <c r="I12" s="61"/>
      <c r="J12" s="56"/>
      <c r="K12" s="54"/>
      <c r="O12" s="8"/>
      <c r="P12" s="8"/>
      <c r="Q12" s="8"/>
      <c r="R12" s="58"/>
      <c r="T12" s="65"/>
      <c r="U12" s="65"/>
      <c r="V12" s="65"/>
      <c r="W12" s="59"/>
      <c r="X12" s="59"/>
      <c r="Y12" s="59"/>
      <c r="AD12" s="72"/>
      <c r="AF12" s="112"/>
      <c r="AG12" s="112"/>
    </row>
    <row r="13" spans="2:34" ht="26.25">
      <c r="C13" s="60"/>
      <c r="D13" s="66"/>
      <c r="E13" s="61"/>
      <c r="F13" s="63"/>
      <c r="G13" s="63"/>
      <c r="H13" s="63"/>
      <c r="I13" s="63"/>
      <c r="J13" s="56"/>
      <c r="K13" s="54"/>
      <c r="R13" s="8"/>
      <c r="S13" s="64" t="e">
        <f>VLOOKUP(AE17,Clients!B3:K702,5)</f>
        <v>#N/A</v>
      </c>
      <c r="T13" s="64"/>
      <c r="U13" s="64"/>
      <c r="V13" s="64"/>
      <c r="W13" s="67"/>
      <c r="X13" s="59"/>
      <c r="Y13" s="59"/>
      <c r="AD13" s="72"/>
      <c r="AF13" s="112"/>
      <c r="AG13" s="112"/>
    </row>
    <row r="14" spans="2:34" ht="25.5">
      <c r="C14" s="60"/>
      <c r="D14" s="66"/>
      <c r="E14" s="61"/>
      <c r="F14" s="63"/>
      <c r="G14" s="63"/>
      <c r="H14" s="63"/>
      <c r="I14" s="63"/>
      <c r="J14" s="56"/>
      <c r="T14" s="67"/>
      <c r="U14" s="67"/>
      <c r="V14" s="67"/>
      <c r="W14" s="67"/>
      <c r="X14" s="59"/>
      <c r="Y14" s="59"/>
      <c r="AD14" s="72"/>
      <c r="AE14" s="200" t="s">
        <v>1180</v>
      </c>
      <c r="AF14" s="431" t="s">
        <v>1179</v>
      </c>
      <c r="AG14" s="432"/>
    </row>
    <row r="15" spans="2:34" ht="26.25">
      <c r="C15" s="60"/>
      <c r="D15" s="66"/>
      <c r="E15" s="61"/>
      <c r="F15" s="61"/>
      <c r="G15" s="61"/>
      <c r="H15" s="61"/>
      <c r="I15" s="63"/>
      <c r="S15" s="64" t="e">
        <f>IF(VLOOKUP(AE17,Clients!B2:J199,6)="",CONCATENATE(VLOOKUP(AE17,Clients!B3:K702,8)," ",VLOOKUP(AE17,Clients!B3:K702,9)),VLOOKUP(AE17,Clients!B2:J702,6))</f>
        <v>#N/A</v>
      </c>
      <c r="T15" s="68"/>
      <c r="U15" s="68"/>
      <c r="V15" s="68"/>
      <c r="W15" s="68"/>
      <c r="AD15" s="72"/>
      <c r="AE15" s="114">
        <f>IF(L18="facture n°",1,IF(L18="facture d'acompte n°",2,IF(L18="devis",3,IF(L18="devis estimatif",4))))</f>
        <v>1</v>
      </c>
      <c r="AF15" s="443" t="s">
        <v>1688</v>
      </c>
      <c r="AG15" s="444"/>
      <c r="AH15" s="69"/>
    </row>
    <row r="16" spans="2:34" ht="25.5">
      <c r="C16" s="60"/>
      <c r="D16" s="66"/>
      <c r="E16" s="61"/>
      <c r="F16" s="61"/>
      <c r="G16" s="61"/>
      <c r="H16" s="61"/>
      <c r="I16" s="63"/>
      <c r="T16" s="68"/>
      <c r="U16" s="68"/>
      <c r="V16" s="68"/>
      <c r="W16" s="68"/>
      <c r="AD16" s="8"/>
      <c r="AE16" s="200" t="s">
        <v>1181</v>
      </c>
      <c r="AF16" s="441" t="s">
        <v>1182</v>
      </c>
      <c r="AG16" s="442"/>
    </row>
    <row r="17" spans="2:57" ht="23.25" customHeight="1">
      <c r="C17" s="60"/>
      <c r="D17" s="61"/>
      <c r="E17" s="70"/>
      <c r="F17" s="71"/>
      <c r="G17" s="71"/>
      <c r="H17" s="71"/>
      <c r="I17" s="61"/>
      <c r="AE17" s="189" t="str">
        <f>IF(AE18&gt;"",VLOOKUP(AE18,Clients!D3:H702,5,0),"")</f>
        <v/>
      </c>
      <c r="AF17" s="433">
        <v>10</v>
      </c>
      <c r="AG17" s="434"/>
    </row>
    <row r="18" spans="2:57" ht="27.75" customHeight="1">
      <c r="B18" s="72"/>
      <c r="C18" s="72"/>
      <c r="D18" s="72"/>
      <c r="E18" s="72"/>
      <c r="F18" s="72"/>
      <c r="G18" s="72"/>
      <c r="H18" s="72"/>
      <c r="I18" s="72"/>
      <c r="J18" s="72"/>
      <c r="K18" s="72"/>
      <c r="L18" s="406" t="s">
        <v>740</v>
      </c>
      <c r="M18" s="406"/>
      <c r="N18" s="406"/>
      <c r="O18" s="406"/>
      <c r="P18" s="406"/>
      <c r="Q18" s="406"/>
      <c r="R18" s="393"/>
      <c r="S18" s="393"/>
      <c r="T18" s="72"/>
      <c r="U18" s="72"/>
      <c r="V18" s="72"/>
      <c r="W18" s="72"/>
      <c r="X18" s="72"/>
      <c r="Y18" s="72"/>
      <c r="Z18" s="72"/>
      <c r="AA18" s="72"/>
      <c r="AB18" s="72"/>
      <c r="AE18" s="407">
        <v>504</v>
      </c>
    </row>
    <row r="19" spans="2:57" ht="20.25">
      <c r="C19" s="60"/>
      <c r="D19" s="61"/>
      <c r="E19" s="73" t="s">
        <v>27</v>
      </c>
      <c r="F19" s="388">
        <f ca="1">TODAY()</f>
        <v>42757</v>
      </c>
      <c r="G19" s="388"/>
      <c r="H19" s="388"/>
      <c r="I19" s="74"/>
      <c r="J19" s="75"/>
      <c r="M19" s="53"/>
      <c r="AE19" s="408"/>
    </row>
    <row r="20" spans="2:57" ht="8.25" customHeight="1"/>
    <row r="21" spans="2:57" ht="12.75" customHeight="1">
      <c r="C21" s="426" t="s">
        <v>28</v>
      </c>
      <c r="D21" s="424" t="s">
        <v>4</v>
      </c>
      <c r="E21" s="424"/>
      <c r="F21" s="424"/>
      <c r="G21" s="424"/>
      <c r="H21" s="424"/>
      <c r="I21" s="424"/>
      <c r="J21" s="424"/>
      <c r="K21" s="424"/>
      <c r="L21" s="424"/>
      <c r="M21" s="424"/>
      <c r="N21" s="424"/>
      <c r="O21" s="424"/>
      <c r="P21" s="424"/>
      <c r="Q21" s="424"/>
      <c r="R21" s="424"/>
      <c r="S21" s="421"/>
      <c r="T21" s="424" t="s">
        <v>1</v>
      </c>
      <c r="U21" s="420" t="s">
        <v>1</v>
      </c>
      <c r="V21" s="420" t="s">
        <v>2</v>
      </c>
      <c r="W21" s="421"/>
      <c r="X21" s="420" t="s">
        <v>5</v>
      </c>
      <c r="Y21" s="421"/>
      <c r="Z21" s="420" t="s">
        <v>3</v>
      </c>
      <c r="AA21" s="421"/>
      <c r="AE21" s="62"/>
      <c r="AH21" s="76" t="s">
        <v>1167</v>
      </c>
      <c r="AI21" s="77"/>
      <c r="AJ21" s="77"/>
      <c r="AK21" s="77"/>
      <c r="AL21" s="77"/>
      <c r="AM21" s="77"/>
      <c r="AN21" s="77"/>
      <c r="AO21" s="77"/>
      <c r="AP21" s="77"/>
      <c r="AQ21" s="77"/>
      <c r="AR21" s="77"/>
    </row>
    <row r="22" spans="2:57" ht="15" customHeight="1">
      <c r="C22" s="427"/>
      <c r="D22" s="425"/>
      <c r="E22" s="425"/>
      <c r="F22" s="425"/>
      <c r="G22" s="425"/>
      <c r="H22" s="425"/>
      <c r="I22" s="425"/>
      <c r="J22" s="425"/>
      <c r="K22" s="425"/>
      <c r="L22" s="425"/>
      <c r="M22" s="425"/>
      <c r="N22" s="425"/>
      <c r="O22" s="425"/>
      <c r="P22" s="425"/>
      <c r="Q22" s="425"/>
      <c r="R22" s="425"/>
      <c r="S22" s="423"/>
      <c r="T22" s="425"/>
      <c r="U22" s="422"/>
      <c r="V22" s="422"/>
      <c r="W22" s="423"/>
      <c r="X22" s="422"/>
      <c r="Y22" s="423"/>
      <c r="Z22" s="422"/>
      <c r="AA22" s="423"/>
      <c r="AE22" s="62"/>
      <c r="AH22" s="78" t="s">
        <v>498</v>
      </c>
    </row>
    <row r="23" spans="2:57" ht="12.75" customHeight="1">
      <c r="C23" s="1"/>
      <c r="D23" s="389"/>
      <c r="E23" s="390"/>
      <c r="F23" s="390"/>
      <c r="G23" s="390"/>
      <c r="H23" s="390"/>
      <c r="I23" s="390"/>
      <c r="J23" s="390"/>
      <c r="K23" s="390"/>
      <c r="L23" s="390"/>
      <c r="M23" s="390"/>
      <c r="N23" s="390"/>
      <c r="O23" s="390"/>
      <c r="P23" s="390"/>
      <c r="Q23" s="390"/>
      <c r="R23" s="390"/>
      <c r="S23" s="391"/>
      <c r="T23" s="2"/>
      <c r="U23" s="4"/>
      <c r="V23" s="370"/>
      <c r="W23" s="371"/>
      <c r="X23" s="429"/>
      <c r="Y23" s="430"/>
      <c r="Z23" s="370">
        <f t="shared" ref="Z23:Z33" si="0">U23*X23</f>
        <v>0</v>
      </c>
      <c r="AA23" s="371"/>
      <c r="AE23" s="62"/>
      <c r="AH23" s="397" t="s">
        <v>84</v>
      </c>
      <c r="AI23" s="398"/>
      <c r="AJ23" s="399"/>
    </row>
    <row r="24" spans="2:57" ht="21.75">
      <c r="C24" s="1"/>
      <c r="D24" s="435" t="s">
        <v>1484</v>
      </c>
      <c r="E24" s="436"/>
      <c r="F24" s="436"/>
      <c r="G24" s="436"/>
      <c r="H24" s="436"/>
      <c r="I24" s="436"/>
      <c r="J24" s="436"/>
      <c r="K24" s="436"/>
      <c r="L24" s="436"/>
      <c r="M24" s="436"/>
      <c r="N24" s="436"/>
      <c r="O24" s="436"/>
      <c r="P24" s="436"/>
      <c r="Q24" s="436"/>
      <c r="R24" s="436"/>
      <c r="S24" s="437"/>
      <c r="T24" s="3"/>
      <c r="U24" s="3"/>
      <c r="V24" s="370"/>
      <c r="W24" s="371"/>
      <c r="X24" s="371"/>
      <c r="Y24" s="370"/>
      <c r="Z24" s="370">
        <f t="shared" si="0"/>
        <v>0</v>
      </c>
      <c r="AA24" s="371"/>
      <c r="AH24" s="394" t="s">
        <v>85</v>
      </c>
      <c r="AI24" s="395"/>
      <c r="AJ24" s="395"/>
      <c r="AK24" s="395"/>
      <c r="AL24" s="395"/>
      <c r="AM24" s="395"/>
      <c r="AN24" s="395"/>
      <c r="AO24" s="395"/>
      <c r="AP24" s="395"/>
      <c r="AQ24" s="395"/>
      <c r="AR24" s="395"/>
      <c r="AS24" s="396"/>
    </row>
    <row r="25" spans="2:57" ht="21.75" customHeight="1">
      <c r="C25" s="1">
        <f>IF($AF$17=10,2,IF($AF$17=20,1,IF($AF$17=5.5,3)))</f>
        <v>2</v>
      </c>
      <c r="D25" s="438"/>
      <c r="E25" s="439"/>
      <c r="F25" s="439"/>
      <c r="G25" s="439"/>
      <c r="H25" s="439"/>
      <c r="I25" s="439"/>
      <c r="J25" s="439"/>
      <c r="K25" s="439"/>
      <c r="L25" s="439"/>
      <c r="M25" s="439"/>
      <c r="N25" s="439"/>
      <c r="O25" s="439"/>
      <c r="P25" s="439"/>
      <c r="Q25" s="439"/>
      <c r="R25" s="439"/>
      <c r="S25" s="440"/>
      <c r="T25" s="3"/>
      <c r="U25" s="3"/>
      <c r="V25" s="370"/>
      <c r="W25" s="371"/>
      <c r="X25" s="371"/>
      <c r="Y25" s="370"/>
      <c r="Z25" s="370">
        <f t="shared" si="0"/>
        <v>0</v>
      </c>
      <c r="AA25" s="371"/>
      <c r="AH25" s="400" t="s">
        <v>86</v>
      </c>
      <c r="AI25" s="401"/>
      <c r="AJ25" s="402"/>
    </row>
    <row r="26" spans="2:57" ht="21.75" customHeight="1">
      <c r="C26" s="1">
        <f t="shared" ref="C26:C61" si="1">IF($AF$17=10,2,IF($AF$17=20,1,IF($AF$17=5.5,3)))</f>
        <v>2</v>
      </c>
      <c r="D26" s="375"/>
      <c r="E26" s="376"/>
      <c r="F26" s="376"/>
      <c r="G26" s="376"/>
      <c r="H26" s="376"/>
      <c r="I26" s="376"/>
      <c r="J26" s="376"/>
      <c r="K26" s="376"/>
      <c r="L26" s="376"/>
      <c r="M26" s="376"/>
      <c r="N26" s="376"/>
      <c r="O26" s="376"/>
      <c r="P26" s="376"/>
      <c r="Q26" s="376"/>
      <c r="R26" s="376"/>
      <c r="S26" s="377"/>
      <c r="T26" s="3"/>
      <c r="U26" s="3"/>
      <c r="V26" s="370"/>
      <c r="W26" s="371"/>
      <c r="X26" s="371"/>
      <c r="Y26" s="370"/>
      <c r="Z26" s="370">
        <f t="shared" si="0"/>
        <v>0</v>
      </c>
      <c r="AA26" s="371"/>
      <c r="AH26" s="79" t="s">
        <v>1168</v>
      </c>
    </row>
    <row r="27" spans="2:57" ht="21.75" customHeight="1">
      <c r="C27" s="1">
        <f t="shared" si="1"/>
        <v>2</v>
      </c>
      <c r="D27" s="375"/>
      <c r="E27" s="376"/>
      <c r="F27" s="376"/>
      <c r="G27" s="376"/>
      <c r="H27" s="376"/>
      <c r="I27" s="376"/>
      <c r="J27" s="376"/>
      <c r="K27" s="376"/>
      <c r="L27" s="376"/>
      <c r="M27" s="376"/>
      <c r="N27" s="376"/>
      <c r="O27" s="376"/>
      <c r="P27" s="376"/>
      <c r="Q27" s="376"/>
      <c r="R27" s="376"/>
      <c r="S27" s="377"/>
      <c r="T27" s="3"/>
      <c r="U27" s="3"/>
      <c r="V27" s="370"/>
      <c r="W27" s="371"/>
      <c r="X27" s="371"/>
      <c r="Y27" s="370"/>
      <c r="Z27" s="370">
        <f t="shared" si="0"/>
        <v>0</v>
      </c>
      <c r="AA27" s="371"/>
      <c r="AH27" s="403" t="s">
        <v>1166</v>
      </c>
      <c r="AI27" s="404"/>
      <c r="AJ27" s="404"/>
      <c r="AK27" s="405"/>
    </row>
    <row r="28" spans="2:57" ht="21.75" customHeight="1">
      <c r="C28" s="1">
        <f t="shared" si="1"/>
        <v>2</v>
      </c>
      <c r="D28" s="375"/>
      <c r="E28" s="376"/>
      <c r="F28" s="376"/>
      <c r="G28" s="376"/>
      <c r="H28" s="376"/>
      <c r="I28" s="376"/>
      <c r="J28" s="376"/>
      <c r="K28" s="376"/>
      <c r="L28" s="376"/>
      <c r="M28" s="376"/>
      <c r="N28" s="376"/>
      <c r="O28" s="376"/>
      <c r="P28" s="376"/>
      <c r="Q28" s="376"/>
      <c r="R28" s="376"/>
      <c r="S28" s="377"/>
      <c r="T28" s="3"/>
      <c r="U28" s="3"/>
      <c r="V28" s="370"/>
      <c r="W28" s="371"/>
      <c r="X28" s="371"/>
      <c r="Y28" s="370"/>
      <c r="Z28" s="370">
        <f t="shared" si="0"/>
        <v>0</v>
      </c>
      <c r="AA28" s="371"/>
      <c r="AH28" s="394" t="s">
        <v>108</v>
      </c>
      <c r="AI28" s="395"/>
      <c r="AJ28" s="395"/>
      <c r="AK28" s="395"/>
      <c r="AL28" s="395"/>
      <c r="AM28" s="395"/>
      <c r="AN28" s="396"/>
      <c r="AO28" s="80"/>
      <c r="AP28" s="81"/>
      <c r="AQ28" s="81"/>
      <c r="AR28" s="81"/>
      <c r="AS28" s="81"/>
      <c r="AT28" s="81"/>
      <c r="AU28" s="81"/>
      <c r="AV28" s="81"/>
      <c r="AW28" s="81"/>
      <c r="AX28" s="81"/>
      <c r="AY28" s="81"/>
      <c r="AZ28" s="81"/>
      <c r="BA28" s="81"/>
      <c r="BB28" s="81"/>
      <c r="BC28" s="81"/>
      <c r="BD28" s="81"/>
      <c r="BE28" s="81"/>
    </row>
    <row r="29" spans="2:57" ht="21.75" customHeight="1">
      <c r="C29" s="1">
        <f t="shared" si="1"/>
        <v>2</v>
      </c>
      <c r="D29" s="375"/>
      <c r="E29" s="376"/>
      <c r="F29" s="376"/>
      <c r="G29" s="376"/>
      <c r="H29" s="376"/>
      <c r="I29" s="376"/>
      <c r="J29" s="376"/>
      <c r="K29" s="376"/>
      <c r="L29" s="376"/>
      <c r="M29" s="376"/>
      <c r="N29" s="376"/>
      <c r="O29" s="376"/>
      <c r="P29" s="376"/>
      <c r="Q29" s="376"/>
      <c r="R29" s="376"/>
      <c r="S29" s="377"/>
      <c r="T29" s="3"/>
      <c r="U29" s="3"/>
      <c r="V29" s="370"/>
      <c r="W29" s="371"/>
      <c r="X29" s="371"/>
      <c r="Y29" s="370"/>
      <c r="Z29" s="370">
        <f t="shared" si="0"/>
        <v>0</v>
      </c>
      <c r="AA29" s="371"/>
      <c r="AD29" s="428"/>
      <c r="AE29" s="428"/>
      <c r="AH29" s="385" t="s">
        <v>1798</v>
      </c>
      <c r="AI29" s="386"/>
      <c r="AJ29" s="387"/>
      <c r="AK29" s="80"/>
      <c r="AL29" s="80"/>
      <c r="AM29" s="80"/>
      <c r="AN29" s="80"/>
      <c r="AO29" s="80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</row>
    <row r="30" spans="2:57" ht="21.75" customHeight="1">
      <c r="C30" s="1">
        <f t="shared" si="1"/>
        <v>2</v>
      </c>
      <c r="D30" s="375"/>
      <c r="E30" s="376"/>
      <c r="F30" s="376"/>
      <c r="G30" s="376"/>
      <c r="H30" s="376"/>
      <c r="I30" s="376"/>
      <c r="J30" s="376"/>
      <c r="K30" s="376"/>
      <c r="L30" s="376"/>
      <c r="M30" s="376"/>
      <c r="N30" s="376"/>
      <c r="O30" s="376"/>
      <c r="P30" s="376"/>
      <c r="Q30" s="376"/>
      <c r="R30" s="376"/>
      <c r="S30" s="377"/>
      <c r="T30" s="358"/>
      <c r="U30" s="3"/>
      <c r="V30" s="370"/>
      <c r="W30" s="371"/>
      <c r="X30" s="371"/>
      <c r="Y30" s="370"/>
      <c r="Z30" s="370">
        <f t="shared" si="0"/>
        <v>0</v>
      </c>
      <c r="AA30" s="371"/>
      <c r="AI30" s="12"/>
      <c r="AJ30" s="12"/>
    </row>
    <row r="31" spans="2:57" ht="21.75" customHeight="1">
      <c r="C31" s="1">
        <f t="shared" si="1"/>
        <v>2</v>
      </c>
      <c r="D31" s="375"/>
      <c r="E31" s="376"/>
      <c r="F31" s="376"/>
      <c r="G31" s="376"/>
      <c r="H31" s="376"/>
      <c r="I31" s="376"/>
      <c r="J31" s="376"/>
      <c r="K31" s="376"/>
      <c r="L31" s="376"/>
      <c r="M31" s="376"/>
      <c r="N31" s="376"/>
      <c r="O31" s="376"/>
      <c r="P31" s="376"/>
      <c r="Q31" s="376"/>
      <c r="R31" s="376"/>
      <c r="S31" s="377"/>
      <c r="T31" s="3"/>
      <c r="U31" s="3"/>
      <c r="V31" s="370"/>
      <c r="W31" s="371"/>
      <c r="X31" s="371"/>
      <c r="Y31" s="370"/>
      <c r="Z31" s="370">
        <f t="shared" si="0"/>
        <v>0</v>
      </c>
      <c r="AA31" s="371"/>
      <c r="AI31" s="12"/>
      <c r="AJ31" s="12"/>
    </row>
    <row r="32" spans="2:57" ht="21.75" customHeight="1">
      <c r="C32" s="1">
        <f t="shared" si="1"/>
        <v>2</v>
      </c>
      <c r="D32" s="378"/>
      <c r="E32" s="379"/>
      <c r="F32" s="379"/>
      <c r="G32" s="379"/>
      <c r="H32" s="379"/>
      <c r="I32" s="379"/>
      <c r="J32" s="379"/>
      <c r="K32" s="379"/>
      <c r="L32" s="379"/>
      <c r="M32" s="379"/>
      <c r="N32" s="379"/>
      <c r="O32" s="379"/>
      <c r="P32" s="379"/>
      <c r="Q32" s="379"/>
      <c r="R32" s="379"/>
      <c r="S32" s="380"/>
      <c r="T32" s="3"/>
      <c r="U32" s="3"/>
      <c r="V32" s="370"/>
      <c r="W32" s="371"/>
      <c r="X32" s="371"/>
      <c r="Y32" s="370"/>
      <c r="Z32" s="370">
        <f t="shared" si="0"/>
        <v>0</v>
      </c>
      <c r="AA32" s="371"/>
      <c r="AH32" s="82"/>
      <c r="AI32" s="12"/>
      <c r="AJ32" s="12"/>
    </row>
    <row r="33" spans="3:39" ht="21.75" customHeight="1">
      <c r="C33" s="1">
        <f t="shared" si="1"/>
        <v>2</v>
      </c>
      <c r="D33" s="378"/>
      <c r="E33" s="379"/>
      <c r="F33" s="379"/>
      <c r="G33" s="379"/>
      <c r="H33" s="379"/>
      <c r="I33" s="379"/>
      <c r="J33" s="379"/>
      <c r="K33" s="379"/>
      <c r="L33" s="379"/>
      <c r="M33" s="379"/>
      <c r="N33" s="379"/>
      <c r="O33" s="379"/>
      <c r="P33" s="379"/>
      <c r="Q33" s="379"/>
      <c r="R33" s="379"/>
      <c r="S33" s="380"/>
      <c r="T33" s="3"/>
      <c r="U33" s="3"/>
      <c r="V33" s="370"/>
      <c r="W33" s="371"/>
      <c r="X33" s="371"/>
      <c r="Y33" s="370"/>
      <c r="Z33" s="370">
        <f t="shared" si="0"/>
        <v>0</v>
      </c>
      <c r="AA33" s="371"/>
      <c r="AH33" s="83"/>
      <c r="AI33" s="12"/>
      <c r="AJ33" s="12"/>
    </row>
    <row r="34" spans="3:39" ht="21.75" customHeight="1">
      <c r="C34" s="1">
        <f t="shared" si="1"/>
        <v>2</v>
      </c>
      <c r="D34" s="445"/>
      <c r="E34" s="446"/>
      <c r="F34" s="446"/>
      <c r="G34" s="446"/>
      <c r="H34" s="446"/>
      <c r="I34" s="446"/>
      <c r="J34" s="446"/>
      <c r="K34" s="446"/>
      <c r="L34" s="446"/>
      <c r="M34" s="446"/>
      <c r="N34" s="446"/>
      <c r="O34" s="446"/>
      <c r="P34" s="446"/>
      <c r="Q34" s="446"/>
      <c r="R34" s="446"/>
      <c r="S34" s="447"/>
      <c r="T34" s="3"/>
      <c r="U34" s="3"/>
      <c r="V34" s="370"/>
      <c r="W34" s="371"/>
      <c r="X34" s="371"/>
      <c r="Y34" s="370"/>
      <c r="Z34" s="370">
        <f t="shared" ref="Z34:Z60" si="2">U34*X34</f>
        <v>0</v>
      </c>
      <c r="AA34" s="371"/>
      <c r="AF34" s="392"/>
      <c r="AG34" s="392"/>
      <c r="AH34" s="392"/>
      <c r="AI34" s="392"/>
      <c r="AJ34" s="392"/>
      <c r="AK34" s="392"/>
    </row>
    <row r="35" spans="3:39" ht="21.75" customHeight="1">
      <c r="C35" s="1">
        <f t="shared" si="1"/>
        <v>2</v>
      </c>
      <c r="D35" s="445"/>
      <c r="E35" s="446"/>
      <c r="F35" s="446"/>
      <c r="G35" s="446"/>
      <c r="H35" s="446"/>
      <c r="I35" s="446"/>
      <c r="J35" s="446"/>
      <c r="K35" s="446"/>
      <c r="L35" s="446"/>
      <c r="M35" s="446"/>
      <c r="N35" s="446"/>
      <c r="O35" s="446"/>
      <c r="P35" s="446"/>
      <c r="Q35" s="446"/>
      <c r="R35" s="446"/>
      <c r="S35" s="447"/>
      <c r="T35" s="3"/>
      <c r="U35" s="3"/>
      <c r="V35" s="370"/>
      <c r="W35" s="371"/>
      <c r="X35" s="371"/>
      <c r="Y35" s="370"/>
      <c r="Z35" s="370">
        <f t="shared" si="2"/>
        <v>0</v>
      </c>
      <c r="AA35" s="371"/>
      <c r="AI35" s="12"/>
      <c r="AJ35" s="12"/>
      <c r="AK35" s="81"/>
      <c r="AL35" s="81"/>
      <c r="AM35" s="81"/>
    </row>
    <row r="36" spans="3:39" ht="21.75" customHeight="1">
      <c r="C36" s="1">
        <f t="shared" si="1"/>
        <v>2</v>
      </c>
      <c r="D36" s="375"/>
      <c r="E36" s="376"/>
      <c r="F36" s="376"/>
      <c r="G36" s="376"/>
      <c r="H36" s="376"/>
      <c r="I36" s="376"/>
      <c r="J36" s="376"/>
      <c r="K36" s="376"/>
      <c r="L36" s="376"/>
      <c r="M36" s="376"/>
      <c r="N36" s="376"/>
      <c r="O36" s="376"/>
      <c r="P36" s="376"/>
      <c r="Q36" s="376"/>
      <c r="R36" s="376"/>
      <c r="S36" s="377"/>
      <c r="T36" s="3"/>
      <c r="U36" s="3"/>
      <c r="V36" s="370"/>
      <c r="W36" s="371"/>
      <c r="X36" s="412"/>
      <c r="Y36" s="371"/>
      <c r="Z36" s="370">
        <f t="shared" si="2"/>
        <v>0</v>
      </c>
      <c r="AA36" s="371"/>
      <c r="AI36" s="12"/>
      <c r="AJ36" s="12"/>
      <c r="AK36" s="81"/>
      <c r="AL36" s="81"/>
      <c r="AM36" s="81"/>
    </row>
    <row r="37" spans="3:39" ht="21.75" customHeight="1">
      <c r="C37" s="1">
        <f t="shared" si="1"/>
        <v>2</v>
      </c>
      <c r="D37" s="375"/>
      <c r="E37" s="376"/>
      <c r="F37" s="376"/>
      <c r="G37" s="376"/>
      <c r="H37" s="376"/>
      <c r="I37" s="376"/>
      <c r="J37" s="376"/>
      <c r="K37" s="376"/>
      <c r="L37" s="376"/>
      <c r="M37" s="376"/>
      <c r="N37" s="376"/>
      <c r="O37" s="376"/>
      <c r="P37" s="376"/>
      <c r="Q37" s="376"/>
      <c r="R37" s="376"/>
      <c r="S37" s="377"/>
      <c r="T37" s="3"/>
      <c r="U37" s="3"/>
      <c r="V37" s="370"/>
      <c r="W37" s="371"/>
      <c r="X37" s="371"/>
      <c r="Y37" s="370"/>
      <c r="Z37" s="370">
        <f t="shared" si="2"/>
        <v>0</v>
      </c>
      <c r="AA37" s="371"/>
      <c r="AH37" s="12"/>
      <c r="AI37" s="12"/>
      <c r="AJ37" s="12"/>
    </row>
    <row r="38" spans="3:39" ht="21.75" customHeight="1">
      <c r="C38" s="1">
        <f t="shared" si="1"/>
        <v>2</v>
      </c>
      <c r="D38" s="375"/>
      <c r="E38" s="376"/>
      <c r="F38" s="376"/>
      <c r="G38" s="376"/>
      <c r="H38" s="376"/>
      <c r="I38" s="376"/>
      <c r="J38" s="376"/>
      <c r="K38" s="376"/>
      <c r="L38" s="376"/>
      <c r="M38" s="376"/>
      <c r="N38" s="376"/>
      <c r="O38" s="376"/>
      <c r="P38" s="376"/>
      <c r="Q38" s="376"/>
      <c r="R38" s="376"/>
      <c r="S38" s="377"/>
      <c r="T38" s="3"/>
      <c r="U38" s="3"/>
      <c r="V38" s="370"/>
      <c r="W38" s="371"/>
      <c r="X38" s="371"/>
      <c r="Y38" s="370"/>
      <c r="Z38" s="370">
        <f t="shared" si="2"/>
        <v>0</v>
      </c>
      <c r="AA38" s="371"/>
    </row>
    <row r="39" spans="3:39" ht="21.75" customHeight="1">
      <c r="C39" s="1">
        <f t="shared" si="1"/>
        <v>2</v>
      </c>
      <c r="D39" s="375"/>
      <c r="E39" s="376"/>
      <c r="F39" s="376"/>
      <c r="G39" s="376"/>
      <c r="H39" s="376"/>
      <c r="I39" s="376"/>
      <c r="J39" s="376"/>
      <c r="K39" s="376"/>
      <c r="L39" s="376"/>
      <c r="M39" s="376"/>
      <c r="N39" s="376"/>
      <c r="O39" s="376"/>
      <c r="P39" s="376"/>
      <c r="Q39" s="376"/>
      <c r="R39" s="376"/>
      <c r="S39" s="377"/>
      <c r="T39" s="3"/>
      <c r="U39" s="3"/>
      <c r="V39" s="370"/>
      <c r="W39" s="371"/>
      <c r="X39" s="371"/>
      <c r="Y39" s="370"/>
      <c r="Z39" s="370">
        <f t="shared" si="2"/>
        <v>0</v>
      </c>
      <c r="AA39" s="371"/>
    </row>
    <row r="40" spans="3:39" ht="21.75" customHeight="1">
      <c r="C40" s="1">
        <f t="shared" si="1"/>
        <v>2</v>
      </c>
      <c r="D40" s="375"/>
      <c r="E40" s="376"/>
      <c r="F40" s="376"/>
      <c r="G40" s="376"/>
      <c r="H40" s="376"/>
      <c r="I40" s="376"/>
      <c r="J40" s="376"/>
      <c r="K40" s="376"/>
      <c r="L40" s="376"/>
      <c r="M40" s="376"/>
      <c r="N40" s="376"/>
      <c r="O40" s="376"/>
      <c r="P40" s="376"/>
      <c r="Q40" s="376"/>
      <c r="R40" s="376"/>
      <c r="S40" s="377"/>
      <c r="T40" s="3"/>
      <c r="U40" s="3"/>
      <c r="V40" s="370"/>
      <c r="W40" s="371"/>
      <c r="X40" s="371"/>
      <c r="Y40" s="370"/>
      <c r="Z40" s="370">
        <f t="shared" si="2"/>
        <v>0</v>
      </c>
      <c r="AA40" s="371"/>
    </row>
    <row r="41" spans="3:39" ht="21.75" customHeight="1">
      <c r="C41" s="1">
        <f t="shared" si="1"/>
        <v>2</v>
      </c>
      <c r="D41" s="375"/>
      <c r="E41" s="376"/>
      <c r="F41" s="376"/>
      <c r="G41" s="376"/>
      <c r="H41" s="376"/>
      <c r="I41" s="376"/>
      <c r="J41" s="376"/>
      <c r="K41" s="376"/>
      <c r="L41" s="376"/>
      <c r="M41" s="376"/>
      <c r="N41" s="376"/>
      <c r="O41" s="376"/>
      <c r="P41" s="376"/>
      <c r="Q41" s="376"/>
      <c r="R41" s="376"/>
      <c r="S41" s="377"/>
      <c r="T41" s="3"/>
      <c r="U41" s="3"/>
      <c r="V41" s="370"/>
      <c r="W41" s="371"/>
      <c r="X41" s="371"/>
      <c r="Y41" s="370"/>
      <c r="Z41" s="370">
        <f t="shared" si="2"/>
        <v>0</v>
      </c>
      <c r="AA41" s="371"/>
      <c r="AH41" s="84"/>
    </row>
    <row r="42" spans="3:39" ht="21.75" customHeight="1">
      <c r="C42" s="1">
        <f t="shared" si="1"/>
        <v>2</v>
      </c>
      <c r="D42" s="375"/>
      <c r="E42" s="376"/>
      <c r="F42" s="376"/>
      <c r="G42" s="376"/>
      <c r="H42" s="376"/>
      <c r="I42" s="376"/>
      <c r="J42" s="376"/>
      <c r="K42" s="376"/>
      <c r="L42" s="376"/>
      <c r="M42" s="376"/>
      <c r="N42" s="376"/>
      <c r="O42" s="376"/>
      <c r="P42" s="376"/>
      <c r="Q42" s="376"/>
      <c r="R42" s="376"/>
      <c r="S42" s="377"/>
      <c r="T42" s="359"/>
      <c r="U42" s="3"/>
      <c r="V42" s="370"/>
      <c r="W42" s="371"/>
      <c r="X42" s="371"/>
      <c r="Y42" s="370"/>
      <c r="Z42" s="370">
        <f t="shared" si="2"/>
        <v>0</v>
      </c>
      <c r="AA42" s="371"/>
      <c r="AH42" s="85"/>
    </row>
    <row r="43" spans="3:39" ht="21.75" customHeight="1">
      <c r="C43" s="1">
        <f t="shared" si="1"/>
        <v>2</v>
      </c>
      <c r="D43" s="375"/>
      <c r="E43" s="376"/>
      <c r="F43" s="376"/>
      <c r="G43" s="376"/>
      <c r="H43" s="376"/>
      <c r="I43" s="376"/>
      <c r="J43" s="376"/>
      <c r="K43" s="376"/>
      <c r="L43" s="376"/>
      <c r="M43" s="376"/>
      <c r="N43" s="376"/>
      <c r="O43" s="376"/>
      <c r="P43" s="376"/>
      <c r="Q43" s="376"/>
      <c r="R43" s="376"/>
      <c r="S43" s="377"/>
      <c r="T43" s="3"/>
      <c r="U43" s="3"/>
      <c r="V43" s="370"/>
      <c r="W43" s="371"/>
      <c r="X43" s="371"/>
      <c r="Y43" s="370"/>
      <c r="Z43" s="370">
        <f t="shared" si="2"/>
        <v>0</v>
      </c>
      <c r="AA43" s="371"/>
    </row>
    <row r="44" spans="3:39" ht="21.75" customHeight="1">
      <c r="C44" s="1">
        <f t="shared" si="1"/>
        <v>2</v>
      </c>
      <c r="D44" s="375"/>
      <c r="E44" s="376"/>
      <c r="F44" s="376"/>
      <c r="G44" s="376"/>
      <c r="H44" s="376"/>
      <c r="I44" s="376"/>
      <c r="J44" s="376"/>
      <c r="K44" s="376"/>
      <c r="L44" s="376"/>
      <c r="M44" s="376"/>
      <c r="N44" s="376"/>
      <c r="O44" s="376"/>
      <c r="P44" s="376"/>
      <c r="Q44" s="376"/>
      <c r="R44" s="376"/>
      <c r="S44" s="377"/>
      <c r="T44" s="3"/>
      <c r="U44" s="3"/>
      <c r="V44" s="370"/>
      <c r="W44" s="371"/>
      <c r="X44" s="371"/>
      <c r="Y44" s="370"/>
      <c r="Z44" s="370">
        <f t="shared" si="2"/>
        <v>0</v>
      </c>
      <c r="AA44" s="371"/>
    </row>
    <row r="45" spans="3:39" ht="21.75" customHeight="1">
      <c r="C45" s="1">
        <f t="shared" si="1"/>
        <v>2</v>
      </c>
      <c r="D45" s="378"/>
      <c r="E45" s="379"/>
      <c r="F45" s="379"/>
      <c r="G45" s="379"/>
      <c r="H45" s="379"/>
      <c r="I45" s="379"/>
      <c r="J45" s="379"/>
      <c r="K45" s="379"/>
      <c r="L45" s="379"/>
      <c r="M45" s="379"/>
      <c r="N45" s="379"/>
      <c r="O45" s="379"/>
      <c r="P45" s="379"/>
      <c r="Q45" s="379"/>
      <c r="R45" s="379"/>
      <c r="S45" s="380"/>
      <c r="T45" s="3"/>
      <c r="U45" s="3"/>
      <c r="V45" s="370"/>
      <c r="W45" s="371"/>
      <c r="X45" s="371"/>
      <c r="Y45" s="370"/>
      <c r="Z45" s="370">
        <f t="shared" si="2"/>
        <v>0</v>
      </c>
      <c r="AA45" s="371"/>
    </row>
    <row r="46" spans="3:39" ht="21.75" customHeight="1">
      <c r="C46" s="1">
        <f t="shared" si="1"/>
        <v>2</v>
      </c>
      <c r="D46" s="378"/>
      <c r="E46" s="379"/>
      <c r="F46" s="379"/>
      <c r="G46" s="379"/>
      <c r="H46" s="379"/>
      <c r="I46" s="379"/>
      <c r="J46" s="379"/>
      <c r="K46" s="379"/>
      <c r="L46" s="379"/>
      <c r="M46" s="379"/>
      <c r="N46" s="379"/>
      <c r="O46" s="379"/>
      <c r="P46" s="379"/>
      <c r="Q46" s="379"/>
      <c r="R46" s="379"/>
      <c r="S46" s="380"/>
      <c r="T46" s="3"/>
      <c r="U46" s="3"/>
      <c r="V46" s="370"/>
      <c r="W46" s="371"/>
      <c r="X46" s="371"/>
      <c r="Y46" s="370"/>
      <c r="Z46" s="370">
        <f t="shared" si="2"/>
        <v>0</v>
      </c>
      <c r="AA46" s="371"/>
    </row>
    <row r="47" spans="3:39" ht="21.75" customHeight="1">
      <c r="C47" s="1">
        <f t="shared" si="1"/>
        <v>2</v>
      </c>
      <c r="D47" s="378"/>
      <c r="E47" s="379"/>
      <c r="F47" s="379"/>
      <c r="G47" s="379"/>
      <c r="H47" s="379"/>
      <c r="I47" s="379"/>
      <c r="J47" s="379"/>
      <c r="K47" s="379"/>
      <c r="L47" s="379"/>
      <c r="M47" s="379"/>
      <c r="N47" s="379"/>
      <c r="O47" s="379"/>
      <c r="P47" s="379"/>
      <c r="Q47" s="379"/>
      <c r="R47" s="379"/>
      <c r="S47" s="380"/>
      <c r="T47" s="3"/>
      <c r="U47" s="3"/>
      <c r="V47" s="370"/>
      <c r="W47" s="371"/>
      <c r="X47" s="412"/>
      <c r="Y47" s="371"/>
      <c r="Z47" s="370">
        <f t="shared" si="2"/>
        <v>0</v>
      </c>
      <c r="AA47" s="371"/>
    </row>
    <row r="48" spans="3:39" ht="21.75" customHeight="1">
      <c r="C48" s="1">
        <f t="shared" si="1"/>
        <v>2</v>
      </c>
      <c r="D48" s="375"/>
      <c r="E48" s="376"/>
      <c r="F48" s="376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77"/>
      <c r="T48" s="3"/>
      <c r="U48" s="3"/>
      <c r="V48" s="370"/>
      <c r="W48" s="371"/>
      <c r="X48" s="371"/>
      <c r="Y48" s="370"/>
      <c r="Z48" s="370">
        <f t="shared" si="2"/>
        <v>0</v>
      </c>
      <c r="AA48" s="371"/>
    </row>
    <row r="49" spans="3:31" ht="21.75" customHeight="1">
      <c r="C49" s="1">
        <f t="shared" si="1"/>
        <v>2</v>
      </c>
      <c r="D49" s="375"/>
      <c r="E49" s="376"/>
      <c r="F49" s="376"/>
      <c r="G49" s="376"/>
      <c r="H49" s="376"/>
      <c r="I49" s="376"/>
      <c r="J49" s="376"/>
      <c r="K49" s="376"/>
      <c r="L49" s="376"/>
      <c r="M49" s="376"/>
      <c r="N49" s="376"/>
      <c r="O49" s="376"/>
      <c r="P49" s="376"/>
      <c r="Q49" s="376"/>
      <c r="R49" s="376"/>
      <c r="S49" s="377"/>
      <c r="T49" s="3"/>
      <c r="U49" s="3"/>
      <c r="V49" s="370"/>
      <c r="W49" s="371"/>
      <c r="X49" s="371"/>
      <c r="Y49" s="370"/>
      <c r="Z49" s="370">
        <f t="shared" si="2"/>
        <v>0</v>
      </c>
      <c r="AA49" s="371"/>
    </row>
    <row r="50" spans="3:31" ht="21.75" customHeight="1">
      <c r="C50" s="1">
        <f t="shared" si="1"/>
        <v>2</v>
      </c>
      <c r="D50" s="375"/>
      <c r="E50" s="376"/>
      <c r="F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77"/>
      <c r="T50" s="3"/>
      <c r="U50" s="3"/>
      <c r="V50" s="370"/>
      <c r="W50" s="371"/>
      <c r="X50" s="371"/>
      <c r="Y50" s="370"/>
      <c r="Z50" s="370">
        <f t="shared" si="2"/>
        <v>0</v>
      </c>
      <c r="AA50" s="371"/>
    </row>
    <row r="51" spans="3:31" ht="21.75" customHeight="1">
      <c r="C51" s="1">
        <f t="shared" si="1"/>
        <v>2</v>
      </c>
      <c r="D51" s="375"/>
      <c r="E51" s="376"/>
      <c r="F51" s="376"/>
      <c r="G51" s="376"/>
      <c r="H51" s="376"/>
      <c r="I51" s="376"/>
      <c r="J51" s="376"/>
      <c r="K51" s="376"/>
      <c r="L51" s="376"/>
      <c r="M51" s="376"/>
      <c r="N51" s="376"/>
      <c r="O51" s="376"/>
      <c r="P51" s="376"/>
      <c r="Q51" s="376"/>
      <c r="R51" s="376"/>
      <c r="S51" s="377"/>
      <c r="T51" s="3"/>
      <c r="U51" s="3"/>
      <c r="V51" s="370"/>
      <c r="W51" s="371"/>
      <c r="X51" s="371"/>
      <c r="Y51" s="370"/>
      <c r="Z51" s="370">
        <f t="shared" si="2"/>
        <v>0</v>
      </c>
      <c r="AA51" s="371"/>
    </row>
    <row r="52" spans="3:31" ht="21.75" customHeight="1">
      <c r="C52" s="1">
        <f t="shared" si="1"/>
        <v>2</v>
      </c>
      <c r="D52" s="375"/>
      <c r="E52" s="376"/>
      <c r="F52" s="376"/>
      <c r="G52" s="376"/>
      <c r="H52" s="376"/>
      <c r="I52" s="376"/>
      <c r="J52" s="376"/>
      <c r="K52" s="376"/>
      <c r="L52" s="376"/>
      <c r="M52" s="376"/>
      <c r="N52" s="376"/>
      <c r="O52" s="376"/>
      <c r="P52" s="376"/>
      <c r="Q52" s="376"/>
      <c r="R52" s="376"/>
      <c r="S52" s="377"/>
      <c r="T52" s="3"/>
      <c r="U52" s="3"/>
      <c r="V52" s="370"/>
      <c r="W52" s="371"/>
      <c r="X52" s="371"/>
      <c r="Y52" s="370"/>
      <c r="Z52" s="370">
        <f t="shared" si="2"/>
        <v>0</v>
      </c>
      <c r="AA52" s="371"/>
    </row>
    <row r="53" spans="3:31" ht="21.75" customHeight="1">
      <c r="C53" s="1">
        <f t="shared" si="1"/>
        <v>2</v>
      </c>
      <c r="D53" s="375"/>
      <c r="E53" s="376"/>
      <c r="F53" s="376"/>
      <c r="G53" s="376"/>
      <c r="H53" s="376"/>
      <c r="I53" s="376"/>
      <c r="J53" s="376"/>
      <c r="K53" s="376"/>
      <c r="L53" s="376"/>
      <c r="M53" s="376"/>
      <c r="N53" s="376"/>
      <c r="O53" s="376"/>
      <c r="P53" s="376"/>
      <c r="Q53" s="376"/>
      <c r="R53" s="376"/>
      <c r="S53" s="377"/>
      <c r="T53" s="3"/>
      <c r="U53" s="3"/>
      <c r="V53" s="370"/>
      <c r="W53" s="371"/>
      <c r="X53" s="371"/>
      <c r="Y53" s="370"/>
      <c r="Z53" s="370">
        <f t="shared" si="2"/>
        <v>0</v>
      </c>
      <c r="AA53" s="371"/>
    </row>
    <row r="54" spans="3:31" ht="21.75" customHeight="1">
      <c r="C54" s="1">
        <f t="shared" si="1"/>
        <v>2</v>
      </c>
      <c r="D54" s="375"/>
      <c r="E54" s="376"/>
      <c r="F54" s="376"/>
      <c r="G54" s="376"/>
      <c r="H54" s="376"/>
      <c r="I54" s="376"/>
      <c r="J54" s="376"/>
      <c r="K54" s="376"/>
      <c r="L54" s="376"/>
      <c r="M54" s="376"/>
      <c r="N54" s="376"/>
      <c r="O54" s="376"/>
      <c r="P54" s="376"/>
      <c r="Q54" s="376"/>
      <c r="R54" s="376"/>
      <c r="S54" s="377"/>
      <c r="T54" s="3"/>
      <c r="U54" s="3"/>
      <c r="V54" s="370"/>
      <c r="W54" s="371"/>
      <c r="X54" s="371"/>
      <c r="Y54" s="370"/>
      <c r="Z54" s="370">
        <f t="shared" si="2"/>
        <v>0</v>
      </c>
      <c r="AA54" s="371"/>
    </row>
    <row r="55" spans="3:31" ht="21.75" customHeight="1">
      <c r="C55" s="1">
        <f t="shared" si="1"/>
        <v>2</v>
      </c>
      <c r="D55" s="375"/>
      <c r="E55" s="376"/>
      <c r="F55" s="376"/>
      <c r="G55" s="376"/>
      <c r="H55" s="376"/>
      <c r="I55" s="376"/>
      <c r="J55" s="376"/>
      <c r="K55" s="376"/>
      <c r="L55" s="376"/>
      <c r="M55" s="376"/>
      <c r="N55" s="376"/>
      <c r="O55" s="376"/>
      <c r="P55" s="376"/>
      <c r="Q55" s="376"/>
      <c r="R55" s="376"/>
      <c r="S55" s="377"/>
      <c r="T55" s="3"/>
      <c r="U55" s="3"/>
      <c r="V55" s="370"/>
      <c r="W55" s="371"/>
      <c r="X55" s="371"/>
      <c r="Y55" s="370"/>
      <c r="Z55" s="370">
        <f t="shared" si="2"/>
        <v>0</v>
      </c>
      <c r="AA55" s="371"/>
    </row>
    <row r="56" spans="3:31" ht="21.75" customHeight="1">
      <c r="C56" s="1">
        <f t="shared" si="1"/>
        <v>2</v>
      </c>
      <c r="D56" s="375"/>
      <c r="E56" s="376"/>
      <c r="F56" s="376"/>
      <c r="G56" s="376"/>
      <c r="H56" s="376"/>
      <c r="I56" s="376"/>
      <c r="J56" s="376"/>
      <c r="K56" s="376"/>
      <c r="L56" s="376"/>
      <c r="M56" s="376"/>
      <c r="N56" s="376"/>
      <c r="O56" s="376"/>
      <c r="P56" s="376"/>
      <c r="Q56" s="376"/>
      <c r="R56" s="376"/>
      <c r="S56" s="377"/>
      <c r="T56" s="3"/>
      <c r="U56" s="3"/>
      <c r="V56" s="370"/>
      <c r="W56" s="371"/>
      <c r="X56" s="371"/>
      <c r="Y56" s="370"/>
      <c r="Z56" s="370">
        <f t="shared" si="2"/>
        <v>0</v>
      </c>
      <c r="AA56" s="371"/>
    </row>
    <row r="57" spans="3:31" ht="21.75" customHeight="1">
      <c r="C57" s="1">
        <f t="shared" si="1"/>
        <v>2</v>
      </c>
      <c r="D57" s="375"/>
      <c r="E57" s="376"/>
      <c r="F57" s="376"/>
      <c r="G57" s="376"/>
      <c r="H57" s="376"/>
      <c r="I57" s="376"/>
      <c r="J57" s="376"/>
      <c r="K57" s="376"/>
      <c r="L57" s="376"/>
      <c r="M57" s="376"/>
      <c r="N57" s="376"/>
      <c r="O57" s="376"/>
      <c r="P57" s="376"/>
      <c r="Q57" s="376"/>
      <c r="R57" s="376"/>
      <c r="S57" s="377"/>
      <c r="T57" s="3"/>
      <c r="U57" s="3"/>
      <c r="V57" s="370"/>
      <c r="W57" s="371"/>
      <c r="X57" s="371"/>
      <c r="Y57" s="370"/>
      <c r="Z57" s="370">
        <f t="shared" si="2"/>
        <v>0</v>
      </c>
      <c r="AA57" s="371"/>
    </row>
    <row r="58" spans="3:31" ht="21.75" customHeight="1">
      <c r="C58" s="1">
        <f t="shared" si="1"/>
        <v>2</v>
      </c>
      <c r="D58" s="375"/>
      <c r="E58" s="376"/>
      <c r="F58" s="376"/>
      <c r="G58" s="376"/>
      <c r="H58" s="376"/>
      <c r="I58" s="376"/>
      <c r="J58" s="376"/>
      <c r="K58" s="376"/>
      <c r="L58" s="376"/>
      <c r="M58" s="376"/>
      <c r="N58" s="376"/>
      <c r="O58" s="376"/>
      <c r="P58" s="376"/>
      <c r="Q58" s="376"/>
      <c r="R58" s="376"/>
      <c r="S58" s="377"/>
      <c r="T58" s="3"/>
      <c r="U58" s="3"/>
      <c r="V58" s="370"/>
      <c r="W58" s="371"/>
      <c r="X58" s="371"/>
      <c r="Y58" s="370"/>
      <c r="Z58" s="370">
        <f t="shared" si="2"/>
        <v>0</v>
      </c>
      <c r="AA58" s="371"/>
    </row>
    <row r="59" spans="3:31" ht="21.75" customHeight="1">
      <c r="C59" s="1">
        <f t="shared" si="1"/>
        <v>2</v>
      </c>
      <c r="D59" s="375"/>
      <c r="E59" s="376"/>
      <c r="F59" s="376"/>
      <c r="G59" s="376"/>
      <c r="H59" s="376"/>
      <c r="I59" s="376"/>
      <c r="J59" s="376"/>
      <c r="K59" s="376"/>
      <c r="L59" s="376"/>
      <c r="M59" s="376"/>
      <c r="N59" s="376"/>
      <c r="O59" s="376"/>
      <c r="P59" s="376"/>
      <c r="Q59" s="376"/>
      <c r="R59" s="376"/>
      <c r="S59" s="377"/>
      <c r="T59" s="3"/>
      <c r="U59" s="3"/>
      <c r="V59" s="370"/>
      <c r="W59" s="371"/>
      <c r="X59" s="412"/>
      <c r="Y59" s="371"/>
      <c r="Z59" s="370">
        <f t="shared" si="2"/>
        <v>0</v>
      </c>
      <c r="AA59" s="371"/>
    </row>
    <row r="60" spans="3:31" ht="21.75" customHeight="1">
      <c r="C60" s="1">
        <f t="shared" si="1"/>
        <v>2</v>
      </c>
      <c r="D60" s="375"/>
      <c r="E60" s="376"/>
      <c r="F60" s="376"/>
      <c r="G60" s="376"/>
      <c r="H60" s="376"/>
      <c r="I60" s="376"/>
      <c r="J60" s="376"/>
      <c r="K60" s="376"/>
      <c r="L60" s="376"/>
      <c r="M60" s="376"/>
      <c r="N60" s="376"/>
      <c r="O60" s="376"/>
      <c r="P60" s="376"/>
      <c r="Q60" s="376"/>
      <c r="R60" s="376"/>
      <c r="S60" s="377"/>
      <c r="T60" s="3"/>
      <c r="U60" s="3"/>
      <c r="V60" s="370"/>
      <c r="W60" s="371"/>
      <c r="X60" s="412"/>
      <c r="Y60" s="371"/>
      <c r="Z60" s="370">
        <f t="shared" si="2"/>
        <v>0</v>
      </c>
      <c r="AA60" s="371"/>
    </row>
    <row r="61" spans="3:31" ht="21.75" customHeight="1">
      <c r="C61" s="103">
        <f t="shared" si="1"/>
        <v>2</v>
      </c>
      <c r="D61" s="372"/>
      <c r="E61" s="373"/>
      <c r="F61" s="373"/>
      <c r="G61" s="373"/>
      <c r="H61" s="373"/>
      <c r="I61" s="373"/>
      <c r="J61" s="373"/>
      <c r="K61" s="373"/>
      <c r="L61" s="373"/>
      <c r="M61" s="373"/>
      <c r="N61" s="373"/>
      <c r="O61" s="373"/>
      <c r="P61" s="373"/>
      <c r="Q61" s="373"/>
      <c r="R61" s="373"/>
      <c r="S61" s="374"/>
      <c r="T61" s="360"/>
      <c r="U61" s="360"/>
      <c r="V61" s="411"/>
      <c r="W61" s="410"/>
      <c r="X61" s="410"/>
      <c r="Y61" s="411"/>
      <c r="Z61" s="411">
        <f>U61*X61</f>
        <v>0</v>
      </c>
      <c r="AA61" s="410"/>
    </row>
    <row r="62" spans="3:31" ht="27">
      <c r="C62" s="86"/>
      <c r="D62" s="379"/>
      <c r="E62" s="379"/>
      <c r="F62" s="379"/>
      <c r="G62" s="379"/>
      <c r="H62" s="379"/>
      <c r="I62" s="379"/>
      <c r="J62" s="379"/>
      <c r="K62" s="379"/>
      <c r="L62" s="379"/>
      <c r="M62" s="379"/>
      <c r="N62" s="379"/>
      <c r="O62" s="379"/>
      <c r="P62" s="379"/>
      <c r="Q62" s="379"/>
      <c r="R62" s="379"/>
      <c r="S62" s="379"/>
      <c r="T62" s="12"/>
      <c r="U62" s="12"/>
      <c r="V62" s="12"/>
      <c r="W62" s="12"/>
      <c r="X62" s="12"/>
      <c r="Y62" s="12"/>
      <c r="Z62" s="12"/>
      <c r="AA62" s="12"/>
      <c r="AE62" s="87" t="s">
        <v>1178</v>
      </c>
    </row>
    <row r="63" spans="3:31" ht="15" customHeight="1">
      <c r="C63" s="381" t="s">
        <v>0</v>
      </c>
      <c r="D63" s="381"/>
      <c r="E63" s="381"/>
      <c r="F63" s="381"/>
      <c r="G63" s="382"/>
      <c r="H63" s="381" t="s">
        <v>1189</v>
      </c>
      <c r="I63" s="381"/>
      <c r="J63" s="381"/>
      <c r="K63" s="381"/>
      <c r="L63" s="382"/>
      <c r="M63" s="381" t="s">
        <v>1190</v>
      </c>
      <c r="N63" s="381"/>
      <c r="O63" s="381"/>
      <c r="P63" s="381"/>
      <c r="Q63" s="382"/>
      <c r="R63" s="381" t="s">
        <v>1191</v>
      </c>
      <c r="S63" s="381"/>
      <c r="U63" s="382" t="s">
        <v>1151</v>
      </c>
      <c r="V63" s="449"/>
      <c r="W63" s="449"/>
      <c r="X63" s="449"/>
      <c r="Y63" s="449"/>
      <c r="Z63" s="449"/>
      <c r="AA63" s="450"/>
      <c r="AE63" s="361">
        <v>2</v>
      </c>
    </row>
    <row r="64" spans="3:31" ht="12.75" customHeight="1">
      <c r="C64" s="383">
        <f>SUM(Z23:AA61)</f>
        <v>0</v>
      </c>
      <c r="D64" s="383"/>
      <c r="E64" s="383"/>
      <c r="F64" s="383"/>
      <c r="G64" s="384"/>
      <c r="H64" s="383">
        <f>(SUMIF(C23:C61,"=1",Z23:AA61))*20%</f>
        <v>0</v>
      </c>
      <c r="I64" s="383"/>
      <c r="J64" s="383"/>
      <c r="K64" s="383"/>
      <c r="L64" s="384"/>
      <c r="M64" s="383">
        <f>(SUMIF(C23:C61,"=2",Z23:AA61))*10%</f>
        <v>0</v>
      </c>
      <c r="N64" s="383"/>
      <c r="O64" s="383"/>
      <c r="P64" s="383"/>
      <c r="Q64" s="384"/>
      <c r="R64" s="383">
        <f>(SUMIF(C23:C61,"=3",Z23:AA61))*5.5%</f>
        <v>0</v>
      </c>
      <c r="S64" s="383"/>
      <c r="T64" s="6"/>
      <c r="U64" s="364">
        <f>C64+H64+M64+R64</f>
        <v>0</v>
      </c>
      <c r="V64" s="365"/>
      <c r="W64" s="365"/>
      <c r="X64" s="365"/>
      <c r="Y64" s="365"/>
      <c r="Z64" s="365"/>
      <c r="AA64" s="366"/>
      <c r="AE64" s="362"/>
    </row>
    <row r="65" spans="2:31" ht="12.75" customHeight="1">
      <c r="C65" s="383"/>
      <c r="D65" s="383"/>
      <c r="E65" s="383"/>
      <c r="F65" s="383"/>
      <c r="G65" s="384"/>
      <c r="H65" s="383"/>
      <c r="I65" s="383"/>
      <c r="J65" s="383"/>
      <c r="K65" s="383"/>
      <c r="L65" s="384"/>
      <c r="M65" s="383"/>
      <c r="N65" s="383"/>
      <c r="O65" s="383"/>
      <c r="P65" s="383"/>
      <c r="Q65" s="384"/>
      <c r="R65" s="383"/>
      <c r="S65" s="383"/>
      <c r="T65" s="7"/>
      <c r="U65" s="367"/>
      <c r="V65" s="368"/>
      <c r="W65" s="368"/>
      <c r="X65" s="368"/>
      <c r="Y65" s="368"/>
      <c r="Z65" s="368"/>
      <c r="AA65" s="369"/>
      <c r="AE65" s="363"/>
    </row>
    <row r="66" spans="2:31">
      <c r="C66" s="86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</row>
    <row r="67" spans="2:31" ht="21.75" customHeight="1">
      <c r="D67" s="88"/>
      <c r="E67" s="88"/>
      <c r="F67" s="413" t="str">
        <f>IF(AE15&lt;=2,AH22,AH21)</f>
        <v>EN VOTRE AIMABLE REGLEMENT A RECEPTION.</v>
      </c>
      <c r="G67" s="413"/>
      <c r="H67" s="413"/>
      <c r="I67" s="413"/>
      <c r="J67" s="413"/>
      <c r="K67" s="413"/>
      <c r="L67" s="413"/>
      <c r="M67" s="413"/>
      <c r="N67" s="413"/>
      <c r="O67" s="413"/>
      <c r="P67" s="413"/>
      <c r="Q67" s="417" t="str">
        <f>IF(AF15="oui",AH26,IF(AF15="non",""))</f>
        <v/>
      </c>
      <c r="R67" s="417"/>
      <c r="S67" s="417"/>
      <c r="T67" s="417"/>
      <c r="U67" s="417"/>
      <c r="V67" s="417"/>
      <c r="W67" s="417"/>
      <c r="X67" s="417"/>
      <c r="Y67" s="448" t="str">
        <f>IF(AF15="non","",U64*30/100)</f>
        <v/>
      </c>
      <c r="Z67" s="448"/>
    </row>
    <row r="68" spans="2:31" ht="11.25" customHeight="1">
      <c r="S68" s="8"/>
      <c r="T68" s="8"/>
      <c r="U68" s="8"/>
      <c r="V68" s="8"/>
      <c r="W68" s="8"/>
      <c r="X68" s="89"/>
      <c r="Y68" s="89"/>
      <c r="Z68" s="89"/>
      <c r="AA68" s="82"/>
    </row>
    <row r="69" spans="2:31" ht="21.75" customHeight="1">
      <c r="Q69" s="414" t="s">
        <v>1152</v>
      </c>
      <c r="R69" s="415"/>
      <c r="S69" s="415"/>
      <c r="T69" s="415"/>
      <c r="U69" s="415"/>
      <c r="V69" s="415"/>
      <c r="W69" s="416"/>
      <c r="X69" s="89"/>
      <c r="Y69" s="89"/>
      <c r="Z69" s="89"/>
      <c r="AA69" s="82"/>
    </row>
    <row r="70" spans="2:31" ht="21.75" customHeight="1">
      <c r="B70" s="90"/>
      <c r="C70" s="90"/>
      <c r="D70" s="90"/>
      <c r="E70" s="90"/>
      <c r="F70" s="90"/>
      <c r="G70" s="90"/>
      <c r="H70" s="91"/>
      <c r="I70" s="90"/>
      <c r="J70" s="90"/>
      <c r="K70" s="90"/>
      <c r="L70" s="90"/>
      <c r="M70" s="90"/>
      <c r="N70" s="90"/>
      <c r="O70" s="90"/>
      <c r="P70" s="92"/>
      <c r="Q70" s="93"/>
      <c r="R70" s="8"/>
      <c r="S70" s="8"/>
      <c r="T70" s="8"/>
      <c r="U70" s="8"/>
      <c r="V70" s="8"/>
      <c r="W70" s="94"/>
      <c r="X70" s="89"/>
      <c r="Y70" s="89"/>
      <c r="Z70" s="89"/>
      <c r="AA70" s="82"/>
    </row>
    <row r="71" spans="2:31" ht="21.75" customHeight="1">
      <c r="Q71" s="93"/>
      <c r="R71" s="8"/>
      <c r="S71" s="8"/>
      <c r="T71" s="8"/>
      <c r="U71" s="8"/>
      <c r="V71" s="8"/>
      <c r="W71" s="94"/>
      <c r="X71" s="89"/>
      <c r="Y71" s="89"/>
      <c r="Z71" s="89"/>
      <c r="AA71" s="82"/>
    </row>
    <row r="72" spans="2:31" ht="12.75" customHeight="1" outlineLevel="1"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6"/>
      <c r="P72" s="96"/>
      <c r="Q72" s="97"/>
      <c r="R72" s="98"/>
      <c r="S72" s="98"/>
      <c r="T72" s="98"/>
      <c r="U72" s="98"/>
      <c r="V72" s="98"/>
      <c r="W72" s="99"/>
      <c r="X72" s="100"/>
      <c r="Y72" s="100"/>
      <c r="Z72" s="100"/>
      <c r="AA72" s="101"/>
    </row>
    <row r="73" spans="2:31" ht="12.75" customHeight="1" outlineLevel="1"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6"/>
      <c r="P73" s="96"/>
      <c r="Q73" s="96"/>
      <c r="R73" s="96"/>
      <c r="S73" s="96"/>
      <c r="T73" s="96"/>
      <c r="U73" s="100"/>
      <c r="V73" s="100"/>
      <c r="W73" s="100"/>
      <c r="X73" s="100"/>
      <c r="Y73" s="100"/>
      <c r="Z73" s="100"/>
      <c r="AA73" s="101"/>
    </row>
    <row r="74" spans="2:31" hidden="1" outlineLevel="1">
      <c r="O74" s="96"/>
      <c r="P74" s="96"/>
      <c r="Q74" s="96"/>
      <c r="R74" s="96"/>
      <c r="S74" s="96"/>
      <c r="T74" s="96"/>
      <c r="U74" s="100"/>
      <c r="V74" s="100"/>
      <c r="W74" s="100"/>
      <c r="X74" s="100"/>
      <c r="Y74" s="100"/>
      <c r="Z74" s="100"/>
      <c r="AA74" s="8"/>
    </row>
    <row r="75" spans="2:31" hidden="1" outlineLevel="1">
      <c r="U75" s="8"/>
      <c r="V75" s="8"/>
      <c r="W75" s="8"/>
      <c r="X75" s="8"/>
      <c r="Y75" s="8"/>
      <c r="Z75" s="8"/>
      <c r="AA75" s="8"/>
    </row>
    <row r="76" spans="2:31" hidden="1" outlineLevel="1">
      <c r="U76" s="8"/>
      <c r="V76" s="8"/>
      <c r="W76" s="8"/>
      <c r="X76" s="8"/>
      <c r="Y76" s="8"/>
      <c r="Z76" s="8"/>
      <c r="AA76" s="8"/>
    </row>
    <row r="77" spans="2:31" hidden="1" outlineLevel="1"/>
    <row r="78" spans="2:31" collapsed="1">
      <c r="B78" s="409" t="str">
        <f>IF(AE15&lt;=2,AH27,AH23)</f>
        <v>RESERVE DE PROPRIETE: Passé cette date, il sera fait application d'une pénalité égale à 15%. Escompte néant</v>
      </c>
      <c r="C78" s="409"/>
      <c r="D78" s="409"/>
      <c r="E78" s="409"/>
      <c r="F78" s="409"/>
      <c r="G78" s="409"/>
      <c r="H78" s="409"/>
      <c r="I78" s="409"/>
      <c r="J78" s="409"/>
      <c r="K78" s="409"/>
      <c r="L78" s="409"/>
      <c r="M78" s="409"/>
      <c r="N78" s="409"/>
      <c r="O78" s="409"/>
      <c r="P78" s="409"/>
      <c r="Q78" s="409"/>
      <c r="R78" s="409"/>
      <c r="S78" s="409"/>
      <c r="T78" s="409"/>
      <c r="U78" s="409"/>
      <c r="V78" s="409"/>
      <c r="W78" s="409"/>
      <c r="X78" s="409"/>
      <c r="Y78" s="409"/>
      <c r="Z78" s="409"/>
      <c r="AA78" s="409"/>
      <c r="AB78" s="409"/>
    </row>
    <row r="79" spans="2:31">
      <c r="B79" s="409" t="str">
        <f xml:space="preserve"> IF(AE15&lt;=2,AH28,AH24)</f>
        <v>En application de la loi du 12 mai 1980, nous nous réservons la propriété de toutes les marchandises, jusqu'au paiement intégral du prix par l'acheteur</v>
      </c>
      <c r="C79" s="409"/>
      <c r="D79" s="409"/>
      <c r="E79" s="409"/>
      <c r="F79" s="409"/>
      <c r="G79" s="409"/>
      <c r="H79" s="409"/>
      <c r="I79" s="409"/>
      <c r="J79" s="409"/>
      <c r="K79" s="409"/>
      <c r="L79" s="409"/>
      <c r="M79" s="409"/>
      <c r="N79" s="409"/>
      <c r="O79" s="409"/>
      <c r="P79" s="409"/>
      <c r="Q79" s="409"/>
      <c r="R79" s="409"/>
      <c r="S79" s="409"/>
      <c r="T79" s="409"/>
      <c r="U79" s="409"/>
      <c r="V79" s="409"/>
      <c r="W79" s="409"/>
      <c r="X79" s="409"/>
      <c r="Y79" s="409"/>
      <c r="Z79" s="409"/>
      <c r="AA79" s="409"/>
      <c r="AB79" s="409"/>
    </row>
    <row r="80" spans="2:31">
      <c r="B80" s="409" t="str">
        <f>IF(AE15&lt;=2,"",AH25)</f>
        <v/>
      </c>
      <c r="C80" s="409"/>
      <c r="D80" s="409"/>
      <c r="E80" s="409"/>
      <c r="F80" s="409"/>
      <c r="G80" s="409"/>
      <c r="H80" s="409"/>
      <c r="I80" s="409"/>
      <c r="J80" s="409"/>
      <c r="K80" s="409"/>
      <c r="L80" s="409"/>
      <c r="M80" s="409"/>
      <c r="N80" s="409"/>
      <c r="O80" s="409"/>
      <c r="P80" s="409"/>
      <c r="Q80" s="409"/>
      <c r="R80" s="409"/>
      <c r="S80" s="409"/>
      <c r="T80" s="409"/>
      <c r="U80" s="409"/>
      <c r="V80" s="409"/>
      <c r="W80" s="409"/>
      <c r="X80" s="409"/>
      <c r="Y80" s="409"/>
      <c r="Z80" s="409"/>
      <c r="AA80" s="409"/>
      <c r="AB80" s="409"/>
    </row>
    <row r="81" spans="2:28">
      <c r="B81" s="409"/>
      <c r="C81" s="409"/>
      <c r="D81" s="409"/>
      <c r="E81" s="409"/>
      <c r="F81" s="409"/>
      <c r="G81" s="409"/>
      <c r="H81" s="409"/>
      <c r="I81" s="409"/>
      <c r="J81" s="409"/>
      <c r="K81" s="409"/>
      <c r="L81" s="409"/>
      <c r="M81" s="409"/>
      <c r="N81" s="409"/>
      <c r="O81" s="409"/>
      <c r="P81" s="409"/>
      <c r="Q81" s="409"/>
      <c r="R81" s="409"/>
      <c r="S81" s="409"/>
      <c r="T81" s="409"/>
      <c r="U81" s="409"/>
      <c r="V81" s="409"/>
      <c r="W81" s="409"/>
      <c r="X81" s="409"/>
      <c r="Y81" s="409"/>
      <c r="Z81" s="409"/>
      <c r="AA81" s="409"/>
      <c r="AB81" s="409"/>
    </row>
    <row r="82" spans="2:28">
      <c r="B82" s="11"/>
      <c r="C82" s="102"/>
      <c r="D82" s="11"/>
      <c r="E82" s="11"/>
      <c r="F82" s="11"/>
      <c r="G82" s="11"/>
      <c r="H82" s="11"/>
    </row>
    <row r="83" spans="2:28">
      <c r="B83" s="11"/>
      <c r="C83" s="102"/>
      <c r="D83" s="11"/>
      <c r="E83" s="11"/>
      <c r="F83" s="102"/>
      <c r="G83" s="11"/>
      <c r="H83" s="11"/>
    </row>
  </sheetData>
  <sheetProtection algorithmName="SHA-512" hashValue="xhTo0lXUNXzZYmz+e0En1BOt0IjBA5+vaYvnCMZcFDWTeKuHVjPb6euHJT94mCsdpIiepyZg45n2GIMlPxlx5A==" saltValue="JXFUorHt8+APCy0OHYugUw==" spinCount="100000" sheet="1" objects="1" scenarios="1"/>
  <mergeCells count="200">
    <mergeCell ref="X60:Y60"/>
    <mergeCell ref="D60:S60"/>
    <mergeCell ref="Y67:Z67"/>
    <mergeCell ref="U63:AA63"/>
    <mergeCell ref="D34:S34"/>
    <mergeCell ref="D32:S32"/>
    <mergeCell ref="X57:Y57"/>
    <mergeCell ref="Z57:AA57"/>
    <mergeCell ref="Z46:AA46"/>
    <mergeCell ref="Z51:AA51"/>
    <mergeCell ref="D42:S42"/>
    <mergeCell ref="V50:W50"/>
    <mergeCell ref="V57:W57"/>
    <mergeCell ref="X35:Y35"/>
    <mergeCell ref="V41:W41"/>
    <mergeCell ref="V34:W34"/>
    <mergeCell ref="V43:W43"/>
    <mergeCell ref="X48:Y48"/>
    <mergeCell ref="V49:W49"/>
    <mergeCell ref="V48:W48"/>
    <mergeCell ref="Z49:AA49"/>
    <mergeCell ref="Z52:AA52"/>
    <mergeCell ref="Z54:AA54"/>
    <mergeCell ref="Z45:AA45"/>
    <mergeCell ref="AF15:AG15"/>
    <mergeCell ref="D56:S56"/>
    <mergeCell ref="V56:W56"/>
    <mergeCell ref="X56:Y56"/>
    <mergeCell ref="Z56:AA56"/>
    <mergeCell ref="V24:W24"/>
    <mergeCell ref="D30:S30"/>
    <mergeCell ref="D31:S31"/>
    <mergeCell ref="D41:S41"/>
    <mergeCell ref="D36:S36"/>
    <mergeCell ref="D40:S40"/>
    <mergeCell ref="D38:S38"/>
    <mergeCell ref="D33:S33"/>
    <mergeCell ref="D35:S35"/>
    <mergeCell ref="D39:S39"/>
    <mergeCell ref="D37:S37"/>
    <mergeCell ref="V46:W46"/>
    <mergeCell ref="Z38:AA38"/>
    <mergeCell ref="X52:Y52"/>
    <mergeCell ref="X37:Y37"/>
    <mergeCell ref="Z48:AA48"/>
    <mergeCell ref="X43:Y43"/>
    <mergeCell ref="Z30:AA30"/>
    <mergeCell ref="Z31:AA31"/>
    <mergeCell ref="X54:Y54"/>
    <mergeCell ref="Z53:AA53"/>
    <mergeCell ref="Z50:AA50"/>
    <mergeCell ref="X51:Y51"/>
    <mergeCell ref="X50:Y50"/>
    <mergeCell ref="Z47:AA47"/>
    <mergeCell ref="Z43:AA43"/>
    <mergeCell ref="Z39:AA39"/>
    <mergeCell ref="V53:W53"/>
    <mergeCell ref="V52:W52"/>
    <mergeCell ref="V51:W51"/>
    <mergeCell ref="V47:W47"/>
    <mergeCell ref="V45:W45"/>
    <mergeCell ref="V44:W44"/>
    <mergeCell ref="X46:Y46"/>
    <mergeCell ref="X44:Y44"/>
    <mergeCell ref="V40:W40"/>
    <mergeCell ref="X40:Y40"/>
    <mergeCell ref="X41:Y41"/>
    <mergeCell ref="X39:Y39"/>
    <mergeCell ref="X45:Y45"/>
    <mergeCell ref="D43:S43"/>
    <mergeCell ref="V25:W25"/>
    <mergeCell ref="V39:W39"/>
    <mergeCell ref="V37:W37"/>
    <mergeCell ref="V32:W32"/>
    <mergeCell ref="V42:W42"/>
    <mergeCell ref="D44:S44"/>
    <mergeCell ref="V29:W29"/>
    <mergeCell ref="V28:W28"/>
    <mergeCell ref="V27:W27"/>
    <mergeCell ref="V26:W26"/>
    <mergeCell ref="V33:W33"/>
    <mergeCell ref="V31:W31"/>
    <mergeCell ref="V30:W30"/>
    <mergeCell ref="V38:W38"/>
    <mergeCell ref="V36:W36"/>
    <mergeCell ref="V35:W35"/>
    <mergeCell ref="D51:S51"/>
    <mergeCell ref="D48:S48"/>
    <mergeCell ref="AF14:AG14"/>
    <mergeCell ref="AF17:AG17"/>
    <mergeCell ref="Z33:AA33"/>
    <mergeCell ref="X47:Y47"/>
    <mergeCell ref="X36:Y36"/>
    <mergeCell ref="X42:Y42"/>
    <mergeCell ref="Z41:AA41"/>
    <mergeCell ref="Z42:AA42"/>
    <mergeCell ref="Z44:AA44"/>
    <mergeCell ref="Z35:AA35"/>
    <mergeCell ref="Z34:AA34"/>
    <mergeCell ref="Z29:AA29"/>
    <mergeCell ref="Z28:AA28"/>
    <mergeCell ref="X29:Y29"/>
    <mergeCell ref="X31:Y31"/>
    <mergeCell ref="X30:Y30"/>
    <mergeCell ref="X28:Y28"/>
    <mergeCell ref="X33:Y33"/>
    <mergeCell ref="D21:S22"/>
    <mergeCell ref="D24:S24"/>
    <mergeCell ref="D25:S25"/>
    <mergeCell ref="AF16:AG16"/>
    <mergeCell ref="B3:AB4"/>
    <mergeCell ref="X21:Y22"/>
    <mergeCell ref="T21:T22"/>
    <mergeCell ref="C21:C22"/>
    <mergeCell ref="D26:S26"/>
    <mergeCell ref="AD29:AE29"/>
    <mergeCell ref="Z40:AA40"/>
    <mergeCell ref="Z32:AA32"/>
    <mergeCell ref="Z36:AA36"/>
    <mergeCell ref="Z37:AA37"/>
    <mergeCell ref="D28:S28"/>
    <mergeCell ref="U21:U22"/>
    <mergeCell ref="V23:W23"/>
    <mergeCell ref="V21:W22"/>
    <mergeCell ref="Z27:AA27"/>
    <mergeCell ref="Z21:AA22"/>
    <mergeCell ref="Z25:AA25"/>
    <mergeCell ref="X27:Y27"/>
    <mergeCell ref="X23:Y23"/>
    <mergeCell ref="X25:Y25"/>
    <mergeCell ref="Z24:AA24"/>
    <mergeCell ref="X32:Y32"/>
    <mergeCell ref="Z23:AA23"/>
    <mergeCell ref="X38:Y38"/>
    <mergeCell ref="B80:AB80"/>
    <mergeCell ref="X58:Y58"/>
    <mergeCell ref="V58:W58"/>
    <mergeCell ref="X55:Y55"/>
    <mergeCell ref="V55:W55"/>
    <mergeCell ref="B81:AB81"/>
    <mergeCell ref="D58:S58"/>
    <mergeCell ref="D55:S55"/>
    <mergeCell ref="X61:Y61"/>
    <mergeCell ref="V59:W59"/>
    <mergeCell ref="X59:Y59"/>
    <mergeCell ref="Z61:AA61"/>
    <mergeCell ref="B78:AB78"/>
    <mergeCell ref="Z58:AA58"/>
    <mergeCell ref="Z55:AA55"/>
    <mergeCell ref="B79:AB79"/>
    <mergeCell ref="F67:P67"/>
    <mergeCell ref="Q69:W69"/>
    <mergeCell ref="D59:S59"/>
    <mergeCell ref="V60:W60"/>
    <mergeCell ref="V61:W61"/>
    <mergeCell ref="D62:S62"/>
    <mergeCell ref="Q67:X67"/>
    <mergeCell ref="Z60:AA60"/>
    <mergeCell ref="AH29:AJ29"/>
    <mergeCell ref="F19:H19"/>
    <mergeCell ref="D23:S23"/>
    <mergeCell ref="AF34:AK34"/>
    <mergeCell ref="R18:S18"/>
    <mergeCell ref="D29:S29"/>
    <mergeCell ref="D27:S27"/>
    <mergeCell ref="AH24:AS24"/>
    <mergeCell ref="AH23:AJ23"/>
    <mergeCell ref="AH25:AJ25"/>
    <mergeCell ref="AH27:AK27"/>
    <mergeCell ref="AH28:AN28"/>
    <mergeCell ref="X24:Y24"/>
    <mergeCell ref="X26:Y26"/>
    <mergeCell ref="Z26:AA26"/>
    <mergeCell ref="L18:Q18"/>
    <mergeCell ref="X34:Y34"/>
    <mergeCell ref="AE18:AE19"/>
    <mergeCell ref="AE63:AE65"/>
    <mergeCell ref="U64:AA65"/>
    <mergeCell ref="Z59:AA59"/>
    <mergeCell ref="X53:Y53"/>
    <mergeCell ref="V54:W54"/>
    <mergeCell ref="D61:S61"/>
    <mergeCell ref="X49:Y49"/>
    <mergeCell ref="D52:S52"/>
    <mergeCell ref="D45:S45"/>
    <mergeCell ref="M63:Q63"/>
    <mergeCell ref="M64:Q65"/>
    <mergeCell ref="R63:S63"/>
    <mergeCell ref="R64:S65"/>
    <mergeCell ref="D54:S54"/>
    <mergeCell ref="D50:S50"/>
    <mergeCell ref="D57:S57"/>
    <mergeCell ref="H64:L65"/>
    <mergeCell ref="C63:G63"/>
    <mergeCell ref="C64:G65"/>
    <mergeCell ref="H63:L63"/>
    <mergeCell ref="D53:S53"/>
    <mergeCell ref="D46:S46"/>
    <mergeCell ref="D47:S47"/>
    <mergeCell ref="D49:S49"/>
  </mergeCells>
  <phoneticPr fontId="0" type="noConversion"/>
  <conditionalFormatting sqref="AE15">
    <cfRule type="expression" dxfId="333" priority="108" stopIfTrue="1">
      <formula>"si+$AE$11="""";$S$70"</formula>
    </cfRule>
  </conditionalFormatting>
  <conditionalFormatting sqref="U64">
    <cfRule type="expression" dxfId="332" priority="74" stopIfTrue="1">
      <formula>AND($AE$63="")</formula>
    </cfRule>
  </conditionalFormatting>
  <conditionalFormatting sqref="C25:C61">
    <cfRule type="expression" dxfId="331" priority="45" stopIfTrue="1">
      <formula>AND($U25="")</formula>
    </cfRule>
  </conditionalFormatting>
  <conditionalFormatting sqref="M64 R64 H64">
    <cfRule type="expression" dxfId="330" priority="1" stopIfTrue="1">
      <formula>AND($AE$63="")</formula>
    </cfRule>
  </conditionalFormatting>
  <conditionalFormatting sqref="U74:AA76 Q69:W72">
    <cfRule type="expression" dxfId="329" priority="2294" stopIfTrue="1">
      <formula>$AE$15=""</formula>
    </cfRule>
  </conditionalFormatting>
  <conditionalFormatting sqref="Q69:W72">
    <cfRule type="expression" dxfId="328" priority="2296" stopIfTrue="1">
      <formula>$AE$15&lt;=2</formula>
    </cfRule>
    <cfRule type="expression" dxfId="327" priority="2297" stopIfTrue="1">
      <formula>$AE$15&lt;=2</formula>
    </cfRule>
    <cfRule type="expression" dxfId="326" priority="2298" stopIfTrue="1">
      <formula>si+$AE$15&lt;=2</formula>
    </cfRule>
    <cfRule type="expression" dxfId="325" priority="2299" stopIfTrue="1">
      <formula>"si+$AE$11&lt;=2;"""""</formula>
    </cfRule>
    <cfRule type="expression" dxfId="324" priority="2300" stopIfTrue="1">
      <formula>si+$AE$15&lt;=2</formula>
    </cfRule>
  </conditionalFormatting>
  <conditionalFormatting sqref="Q67:Z67">
    <cfRule type="expression" dxfId="323" priority="2301" stopIfTrue="1">
      <formula>AND($AF15="oui")</formula>
    </cfRule>
  </conditionalFormatting>
  <dataValidations count="3">
    <dataValidation type="list" allowBlank="1" showInputMessage="1" showErrorMessage="1" sqref="V23:W61">
      <formula1>$AE$5:$AE$9</formula1>
    </dataValidation>
    <dataValidation type="list" allowBlank="1" showInputMessage="1" showErrorMessage="1" sqref="AF15:AG15">
      <formula1>$AF$6:$AF$7</formula1>
    </dataValidation>
    <dataValidation type="list" allowBlank="1" showInputMessage="1" showErrorMessage="1" sqref="L18">
      <formula1>$AG$5:$AG$8</formula1>
    </dataValidation>
  </dataValidations>
  <pageMargins left="0" right="0" top="0.35433070866141736" bottom="0" header="0.31496062992125984" footer="0.31496062992125984"/>
  <pageSetup paperSize="9" scale="51" orientation="portrait" horizontalDpi="300" verticalDpi="300" r:id="rId1"/>
  <headerFooter alignWithMargins="0">
    <oddFooter>&amp;L
 SICAUD MENUISERIE &amp;C
Socièté à responsabilité limitée au capital de 7 500 € &amp;R
 481 863 553  RCS Saintes. N° TVA CEE: FR 59 481 863 553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Clients!$R$4:$R$6</xm:f>
          </x14:formula1>
          <xm:sqref>AF17:AG17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3:BE83"/>
  <sheetViews>
    <sheetView showZeros="0" view="pageBreakPreview" zoomScale="50" zoomScaleNormal="75" zoomScaleSheetLayoutView="50" workbookViewId="0">
      <selection activeCell="X38" sqref="X38:Y38"/>
    </sheetView>
  </sheetViews>
  <sheetFormatPr baseColWidth="10" defaultRowHeight="12.75" outlineLevelRow="1"/>
  <cols>
    <col min="1" max="1" width="4" style="9" customWidth="1"/>
    <col min="2" max="2" width="2.5703125" style="9" customWidth="1"/>
    <col min="3" max="3" width="5.7109375" style="201" customWidth="1"/>
    <col min="4" max="7" width="5" style="9" customWidth="1"/>
    <col min="8" max="8" width="19.42578125" style="9" customWidth="1"/>
    <col min="9" max="13" width="5" style="9" customWidth="1"/>
    <col min="14" max="14" width="19" style="9" customWidth="1"/>
    <col min="15" max="18" width="5" style="9" customWidth="1"/>
    <col min="19" max="19" width="32" style="9" customWidth="1"/>
    <col min="20" max="20" width="4.140625" style="9" hidden="1" customWidth="1"/>
    <col min="21" max="21" width="10.140625" style="9" customWidth="1"/>
    <col min="22" max="22" width="4" style="9" customWidth="1"/>
    <col min="23" max="23" width="4.42578125" style="9" customWidth="1"/>
    <col min="24" max="24" width="6.42578125" style="9" customWidth="1"/>
    <col min="25" max="25" width="10.85546875" style="9" customWidth="1"/>
    <col min="26" max="26" width="5" style="9" customWidth="1"/>
    <col min="27" max="27" width="12.85546875" style="9" customWidth="1"/>
    <col min="28" max="28" width="2.5703125" style="9" customWidth="1"/>
    <col min="29" max="29" width="2" style="9" customWidth="1"/>
    <col min="30" max="30" width="4.42578125" style="9" customWidth="1"/>
    <col min="31" max="31" width="19.7109375" style="9" customWidth="1"/>
    <col min="32" max="32" width="6" style="9" customWidth="1"/>
    <col min="33" max="33" width="7.42578125" style="9" customWidth="1"/>
    <col min="34" max="34" width="71.140625" style="9" customWidth="1"/>
    <col min="35" max="35" width="8" style="9" customWidth="1"/>
    <col min="36" max="16384" width="11.42578125" style="9"/>
  </cols>
  <sheetData>
    <row r="3" spans="2:34" ht="12.75" customHeight="1">
      <c r="B3" s="418" t="s">
        <v>1162</v>
      </c>
      <c r="C3" s="419"/>
      <c r="D3" s="419"/>
      <c r="E3" s="419"/>
      <c r="F3" s="419"/>
      <c r="G3" s="419"/>
      <c r="H3" s="419"/>
      <c r="I3" s="419"/>
      <c r="J3" s="419"/>
      <c r="K3" s="419"/>
      <c r="L3" s="419"/>
      <c r="M3" s="419"/>
      <c r="N3" s="419"/>
      <c r="O3" s="419"/>
      <c r="P3" s="419"/>
      <c r="Q3" s="419"/>
      <c r="R3" s="419"/>
      <c r="S3" s="419"/>
      <c r="T3" s="419"/>
      <c r="U3" s="419"/>
      <c r="V3" s="419"/>
      <c r="W3" s="419"/>
      <c r="X3" s="419"/>
      <c r="Y3" s="419"/>
      <c r="Z3" s="419"/>
      <c r="AA3" s="419"/>
      <c r="AB3" s="419"/>
      <c r="AC3" s="52"/>
    </row>
    <row r="4" spans="2:34" ht="12.75" customHeight="1">
      <c r="B4" s="419"/>
      <c r="C4" s="419"/>
      <c r="D4" s="419"/>
      <c r="E4" s="419"/>
      <c r="F4" s="419"/>
      <c r="G4" s="419"/>
      <c r="H4" s="419"/>
      <c r="I4" s="419"/>
      <c r="J4" s="419"/>
      <c r="K4" s="419"/>
      <c r="L4" s="419"/>
      <c r="M4" s="419"/>
      <c r="N4" s="419"/>
      <c r="O4" s="419"/>
      <c r="P4" s="419"/>
      <c r="Q4" s="419"/>
      <c r="R4" s="419"/>
      <c r="S4" s="419"/>
      <c r="T4" s="419"/>
      <c r="U4" s="419"/>
      <c r="V4" s="419"/>
      <c r="W4" s="419"/>
      <c r="X4" s="419"/>
      <c r="Y4" s="419"/>
      <c r="Z4" s="419"/>
      <c r="AA4" s="419"/>
      <c r="AB4" s="419"/>
    </row>
    <row r="5" spans="2:34" ht="26.25">
      <c r="AE5" s="105"/>
      <c r="AF5" s="53"/>
    </row>
    <row r="6" spans="2:34" ht="26.25">
      <c r="AE6" s="105"/>
    </row>
    <row r="7" spans="2:34" ht="26.25">
      <c r="D7" s="54"/>
      <c r="K7" s="54"/>
      <c r="X7" s="55"/>
      <c r="AE7" s="105"/>
      <c r="AF7" s="53"/>
    </row>
    <row r="8" spans="2:34" ht="26.25">
      <c r="D8" s="54"/>
      <c r="F8" s="56"/>
      <c r="G8" s="56"/>
      <c r="H8" s="57"/>
      <c r="I8" s="56"/>
      <c r="J8" s="56"/>
      <c r="K8" s="54"/>
      <c r="X8" s="55"/>
      <c r="AE8" s="105"/>
    </row>
    <row r="9" spans="2:34" ht="20.25">
      <c r="D9" s="54"/>
      <c r="F9" s="56"/>
      <c r="G9" s="56"/>
      <c r="H9" s="56"/>
      <c r="I9" s="56"/>
      <c r="J9" s="56"/>
      <c r="K9" s="54"/>
      <c r="R9" s="58"/>
    </row>
    <row r="10" spans="2:34" ht="17.25" customHeight="1">
      <c r="D10" s="54"/>
      <c r="F10" s="56"/>
      <c r="G10" s="56"/>
      <c r="H10" s="56"/>
      <c r="I10" s="56"/>
      <c r="J10" s="56"/>
      <c r="K10" s="54"/>
      <c r="R10" s="58"/>
      <c r="T10" s="59"/>
      <c r="U10" s="59"/>
      <c r="V10" s="59"/>
      <c r="W10" s="59"/>
      <c r="X10" s="59"/>
      <c r="Y10" s="59"/>
    </row>
    <row r="11" spans="2:34" ht="30" customHeight="1">
      <c r="C11" s="60"/>
      <c r="D11" s="61"/>
      <c r="E11" s="62"/>
      <c r="F11" s="63"/>
      <c r="G11" s="63"/>
      <c r="H11" s="63"/>
      <c r="I11" s="63"/>
      <c r="J11" s="56"/>
      <c r="K11" s="54"/>
      <c r="R11" s="58"/>
      <c r="S11" s="64" t="e">
        <f>CONCATENATE(VLOOKUP($AE$17,Clients!B3:K702,2),VLOOKUP($AE$17,Clients!B3:K702,3)," ",VLOOKUP($AE$17,Clients!B3:K702,4))</f>
        <v>#N/A</v>
      </c>
      <c r="T11" s="65"/>
      <c r="U11" s="65"/>
      <c r="V11" s="65"/>
      <c r="W11" s="59"/>
      <c r="X11" s="59"/>
      <c r="Y11" s="59"/>
      <c r="AD11" s="8"/>
    </row>
    <row r="12" spans="2:34" ht="26.25">
      <c r="C12" s="60"/>
      <c r="D12" s="66"/>
      <c r="E12" s="61"/>
      <c r="F12" s="63"/>
      <c r="G12" s="63"/>
      <c r="H12" s="63"/>
      <c r="I12" s="61"/>
      <c r="J12" s="56"/>
      <c r="K12" s="54"/>
      <c r="O12" s="8"/>
      <c r="P12" s="8"/>
      <c r="Q12" s="8"/>
      <c r="R12" s="58"/>
      <c r="T12" s="65"/>
      <c r="U12" s="65"/>
      <c r="V12" s="65"/>
      <c r="W12" s="59"/>
      <c r="X12" s="59"/>
      <c r="Y12" s="59"/>
      <c r="AD12" s="72"/>
      <c r="AE12" s="454"/>
      <c r="AF12" s="454"/>
      <c r="AG12" s="454"/>
    </row>
    <row r="13" spans="2:34" ht="26.25">
      <c r="C13" s="60"/>
      <c r="D13" s="66"/>
      <c r="E13" s="61"/>
      <c r="F13" s="63"/>
      <c r="G13" s="63"/>
      <c r="H13" s="63"/>
      <c r="I13" s="63"/>
      <c r="J13" s="56"/>
      <c r="K13" s="54"/>
      <c r="R13" s="8"/>
      <c r="S13" s="64" t="e">
        <f>VLOOKUP($AE$17,Clients!B3:K702,5)</f>
        <v>#N/A</v>
      </c>
      <c r="T13" s="64"/>
      <c r="U13" s="64"/>
      <c r="V13" s="64"/>
      <c r="W13" s="67"/>
      <c r="X13" s="59"/>
      <c r="Y13" s="59"/>
      <c r="AD13" s="72"/>
      <c r="AE13" s="454"/>
      <c r="AF13" s="454"/>
      <c r="AG13" s="454"/>
    </row>
    <row r="14" spans="2:34" ht="25.5">
      <c r="C14" s="60"/>
      <c r="D14" s="66"/>
      <c r="E14" s="61"/>
      <c r="F14" s="63"/>
      <c r="G14" s="63"/>
      <c r="H14" s="63"/>
      <c r="I14" s="63"/>
      <c r="J14" s="56"/>
      <c r="T14" s="67"/>
      <c r="U14" s="67"/>
      <c r="V14" s="67"/>
      <c r="W14" s="67"/>
      <c r="X14" s="59"/>
      <c r="Y14" s="59"/>
      <c r="AD14" s="72"/>
      <c r="AE14" s="200" t="s">
        <v>1180</v>
      </c>
      <c r="AF14" s="431" t="s">
        <v>1179</v>
      </c>
      <c r="AG14" s="432"/>
    </row>
    <row r="15" spans="2:34" ht="26.25">
      <c r="C15" s="60"/>
      <c r="D15" s="66"/>
      <c r="E15" s="61"/>
      <c r="F15" s="61"/>
      <c r="G15" s="61"/>
      <c r="H15" s="61"/>
      <c r="I15" s="63"/>
      <c r="S15" s="64" t="e">
        <f>IF(VLOOKUP(AE17,Clients!B2:J199,6)="",CONCATENATE(VLOOKUP($AE$17,Clients!B3:K702,7)," ",VLOOKUP($AE$17,Clients!B3:K702,8)),VLOOKUP(AE17,Clients!B2:J199,6))</f>
        <v>#N/A</v>
      </c>
      <c r="T15" s="68"/>
      <c r="U15" s="68"/>
      <c r="V15" s="68"/>
      <c r="W15" s="68"/>
      <c r="AD15" s="72"/>
      <c r="AE15" s="114">
        <f>PAGE1!AE15</f>
        <v>1</v>
      </c>
      <c r="AF15" s="453" t="s">
        <v>1688</v>
      </c>
      <c r="AG15" s="453"/>
      <c r="AH15" s="69"/>
    </row>
    <row r="16" spans="2:34" ht="25.5">
      <c r="C16" s="60"/>
      <c r="D16" s="66"/>
      <c r="E16" s="61"/>
      <c r="F16" s="61"/>
      <c r="G16" s="61"/>
      <c r="H16" s="61"/>
      <c r="I16" s="63"/>
      <c r="T16" s="68"/>
      <c r="U16" s="68"/>
      <c r="V16" s="68"/>
      <c r="W16" s="68"/>
      <c r="AE16" s="200" t="s">
        <v>1181</v>
      </c>
      <c r="AF16" s="451" t="s">
        <v>1182</v>
      </c>
      <c r="AG16" s="451"/>
    </row>
    <row r="17" spans="2:57" ht="23.25" customHeight="1">
      <c r="C17" s="60"/>
      <c r="D17" s="61"/>
      <c r="E17" s="70"/>
      <c r="F17" s="71"/>
      <c r="G17" s="71"/>
      <c r="H17" s="71"/>
      <c r="I17" s="61"/>
      <c r="AE17" s="115" t="str">
        <f>PAGE1!AE17</f>
        <v/>
      </c>
      <c r="AF17" s="433">
        <f>PAGE1!AF17</f>
        <v>10</v>
      </c>
      <c r="AG17" s="434"/>
    </row>
    <row r="18" spans="2:57" ht="27.75" customHeight="1">
      <c r="B18" s="72"/>
      <c r="C18" s="72"/>
      <c r="D18" s="72"/>
      <c r="E18" s="72"/>
      <c r="F18" s="72"/>
      <c r="G18" s="72"/>
      <c r="H18" s="72"/>
      <c r="I18" s="72"/>
      <c r="J18" s="72"/>
      <c r="K18" s="72"/>
      <c r="L18" s="406" t="str">
        <f>PAGE1!L18</f>
        <v>FACTURE N°</v>
      </c>
      <c r="M18" s="392"/>
      <c r="N18" s="392"/>
      <c r="O18" s="392"/>
      <c r="P18" s="392"/>
      <c r="Q18" s="392"/>
      <c r="R18" s="452">
        <f>PAGE1!R18</f>
        <v>0</v>
      </c>
      <c r="S18" s="452"/>
      <c r="T18" s="72"/>
      <c r="U18" s="72"/>
      <c r="V18" s="72"/>
      <c r="W18" s="72"/>
      <c r="X18" s="72"/>
      <c r="Y18" s="72"/>
      <c r="Z18" s="72"/>
      <c r="AA18" s="72"/>
      <c r="AB18" s="72"/>
    </row>
    <row r="19" spans="2:57" ht="20.25">
      <c r="C19" s="60"/>
      <c r="D19" s="61"/>
      <c r="E19" s="73" t="s">
        <v>27</v>
      </c>
      <c r="F19" s="388">
        <f ca="1">PAGE1!F19</f>
        <v>42757</v>
      </c>
      <c r="G19" s="388"/>
      <c r="H19" s="388"/>
      <c r="I19" s="74"/>
      <c r="J19" s="75"/>
      <c r="M19" s="53"/>
      <c r="AE19" s="62"/>
    </row>
    <row r="20" spans="2:57" ht="8.25" customHeight="1"/>
    <row r="21" spans="2:57" ht="12.75" customHeight="1">
      <c r="C21" s="426" t="s">
        <v>28</v>
      </c>
      <c r="D21" s="424" t="s">
        <v>4</v>
      </c>
      <c r="E21" s="424"/>
      <c r="F21" s="424"/>
      <c r="G21" s="424"/>
      <c r="H21" s="424"/>
      <c r="I21" s="424"/>
      <c r="J21" s="424"/>
      <c r="K21" s="424"/>
      <c r="L21" s="424"/>
      <c r="M21" s="424"/>
      <c r="N21" s="424"/>
      <c r="O21" s="424"/>
      <c r="P21" s="424"/>
      <c r="Q21" s="424"/>
      <c r="R21" s="424"/>
      <c r="S21" s="421"/>
      <c r="T21" s="424" t="s">
        <v>1</v>
      </c>
      <c r="U21" s="420" t="s">
        <v>1</v>
      </c>
      <c r="V21" s="420" t="s">
        <v>2</v>
      </c>
      <c r="W21" s="421"/>
      <c r="X21" s="420" t="s">
        <v>5</v>
      </c>
      <c r="Y21" s="421"/>
      <c r="Z21" s="420" t="s">
        <v>3</v>
      </c>
      <c r="AA21" s="421"/>
      <c r="AE21" s="62"/>
      <c r="AH21" s="76" t="s">
        <v>1167</v>
      </c>
      <c r="AI21" s="77"/>
      <c r="AJ21" s="77"/>
      <c r="AK21" s="77"/>
      <c r="AL21" s="77"/>
      <c r="AM21" s="77"/>
      <c r="AN21" s="77"/>
      <c r="AO21" s="77"/>
      <c r="AP21" s="77"/>
      <c r="AQ21" s="77"/>
      <c r="AR21" s="77"/>
    </row>
    <row r="22" spans="2:57" ht="15" customHeight="1">
      <c r="C22" s="427"/>
      <c r="D22" s="425"/>
      <c r="E22" s="425"/>
      <c r="F22" s="425"/>
      <c r="G22" s="425"/>
      <c r="H22" s="425"/>
      <c r="I22" s="425"/>
      <c r="J22" s="425"/>
      <c r="K22" s="425"/>
      <c r="L22" s="425"/>
      <c r="M22" s="425"/>
      <c r="N22" s="425"/>
      <c r="O22" s="425"/>
      <c r="P22" s="425"/>
      <c r="Q22" s="425"/>
      <c r="R22" s="425"/>
      <c r="S22" s="423"/>
      <c r="T22" s="425"/>
      <c r="U22" s="422"/>
      <c r="V22" s="422"/>
      <c r="W22" s="423"/>
      <c r="X22" s="422"/>
      <c r="Y22" s="423"/>
      <c r="Z22" s="422"/>
      <c r="AA22" s="423"/>
      <c r="AE22" s="62"/>
      <c r="AH22" s="78" t="s">
        <v>498</v>
      </c>
    </row>
    <row r="23" spans="2:57" ht="12.75" customHeight="1">
      <c r="C23" s="1"/>
      <c r="D23" s="389"/>
      <c r="E23" s="390"/>
      <c r="F23" s="390"/>
      <c r="G23" s="390"/>
      <c r="H23" s="390"/>
      <c r="I23" s="390"/>
      <c r="J23" s="390"/>
      <c r="K23" s="390"/>
      <c r="L23" s="390"/>
      <c r="M23" s="390"/>
      <c r="N23" s="390"/>
      <c r="O23" s="390"/>
      <c r="P23" s="390"/>
      <c r="Q23" s="390"/>
      <c r="R23" s="390"/>
      <c r="S23" s="391"/>
      <c r="T23" s="2"/>
      <c r="U23" s="4"/>
      <c r="V23" s="430"/>
      <c r="W23" s="429"/>
      <c r="X23" s="429"/>
      <c r="Y23" s="430"/>
      <c r="Z23" s="370">
        <f t="shared" ref="Z23:Z60" si="0">U23*X23</f>
        <v>0</v>
      </c>
      <c r="AA23" s="371"/>
      <c r="AE23" s="62"/>
      <c r="AH23" s="397" t="s">
        <v>84</v>
      </c>
      <c r="AI23" s="398"/>
      <c r="AJ23" s="399"/>
    </row>
    <row r="24" spans="2:57" ht="21.75">
      <c r="C24" s="1"/>
      <c r="D24" s="435" t="s">
        <v>1484</v>
      </c>
      <c r="E24" s="436"/>
      <c r="F24" s="436"/>
      <c r="G24" s="436"/>
      <c r="H24" s="436"/>
      <c r="I24" s="436"/>
      <c r="J24" s="436"/>
      <c r="K24" s="436"/>
      <c r="L24" s="436"/>
      <c r="M24" s="436"/>
      <c r="N24" s="436"/>
      <c r="O24" s="436"/>
      <c r="P24" s="436"/>
      <c r="Q24" s="436"/>
      <c r="R24" s="436"/>
      <c r="S24" s="437"/>
      <c r="T24" s="3"/>
      <c r="U24" s="3"/>
      <c r="V24" s="370"/>
      <c r="W24" s="371"/>
      <c r="X24" s="371"/>
      <c r="Y24" s="370"/>
      <c r="Z24" s="370">
        <f t="shared" si="0"/>
        <v>0</v>
      </c>
      <c r="AA24" s="371"/>
      <c r="AH24" s="394" t="s">
        <v>85</v>
      </c>
      <c r="AI24" s="395"/>
      <c r="AJ24" s="395"/>
      <c r="AK24" s="395"/>
      <c r="AL24" s="395"/>
      <c r="AM24" s="395"/>
      <c r="AN24" s="395"/>
      <c r="AO24" s="395"/>
      <c r="AP24" s="395"/>
      <c r="AQ24" s="395"/>
      <c r="AR24" s="395"/>
      <c r="AS24" s="396"/>
    </row>
    <row r="25" spans="2:57" ht="21.75" customHeight="1">
      <c r="C25" s="1">
        <f>IF($AF$17=10,2,IF($AF$17=20,1,IF($AF$17=5.5,3)))</f>
        <v>2</v>
      </c>
      <c r="D25" s="438" t="s">
        <v>1541</v>
      </c>
      <c r="E25" s="439"/>
      <c r="F25" s="439"/>
      <c r="G25" s="439"/>
      <c r="H25" s="439"/>
      <c r="I25" s="439"/>
      <c r="J25" s="439"/>
      <c r="K25" s="439"/>
      <c r="L25" s="439"/>
      <c r="M25" s="439"/>
      <c r="N25" s="439"/>
      <c r="O25" s="439"/>
      <c r="P25" s="439"/>
      <c r="Q25" s="439"/>
      <c r="R25" s="439"/>
      <c r="S25" s="440"/>
      <c r="T25" s="3"/>
      <c r="U25" s="3">
        <v>1</v>
      </c>
      <c r="V25" s="370" t="s">
        <v>2</v>
      </c>
      <c r="W25" s="371"/>
      <c r="X25" s="371">
        <f>PAGE1!C64</f>
        <v>0</v>
      </c>
      <c r="Y25" s="370"/>
      <c r="Z25" s="370">
        <f t="shared" si="0"/>
        <v>0</v>
      </c>
      <c r="AA25" s="371"/>
      <c r="AH25" s="400" t="s">
        <v>86</v>
      </c>
      <c r="AI25" s="401"/>
      <c r="AJ25" s="402"/>
    </row>
    <row r="26" spans="2:57" ht="21.75" customHeight="1">
      <c r="C26" s="1">
        <f t="shared" ref="C26:C61" si="1">IF($AF$17=10,2,IF($AF$17=20,1,IF($AF$17=5.5,3)))</f>
        <v>2</v>
      </c>
      <c r="D26" s="375"/>
      <c r="E26" s="376"/>
      <c r="F26" s="376"/>
      <c r="G26" s="376"/>
      <c r="H26" s="376"/>
      <c r="I26" s="376"/>
      <c r="J26" s="376"/>
      <c r="K26" s="376"/>
      <c r="L26" s="376"/>
      <c r="M26" s="376"/>
      <c r="N26" s="376"/>
      <c r="O26" s="376"/>
      <c r="P26" s="376"/>
      <c r="Q26" s="376"/>
      <c r="R26" s="376"/>
      <c r="S26" s="377"/>
      <c r="T26" s="3"/>
      <c r="U26" s="3"/>
      <c r="V26" s="370"/>
      <c r="W26" s="371"/>
      <c r="X26" s="371"/>
      <c r="Y26" s="370"/>
      <c r="Z26" s="370">
        <f t="shared" si="0"/>
        <v>0</v>
      </c>
      <c r="AA26" s="371"/>
      <c r="AH26" s="79" t="s">
        <v>1168</v>
      </c>
    </row>
    <row r="27" spans="2:57" ht="21.75" customHeight="1">
      <c r="C27" s="1">
        <f t="shared" si="1"/>
        <v>2</v>
      </c>
      <c r="D27" s="375"/>
      <c r="E27" s="376"/>
      <c r="F27" s="376"/>
      <c r="G27" s="376"/>
      <c r="H27" s="376"/>
      <c r="I27" s="376"/>
      <c r="J27" s="376"/>
      <c r="K27" s="376"/>
      <c r="L27" s="376"/>
      <c r="M27" s="376"/>
      <c r="N27" s="376"/>
      <c r="O27" s="376"/>
      <c r="P27" s="376"/>
      <c r="Q27" s="376"/>
      <c r="R27" s="376"/>
      <c r="S27" s="377"/>
      <c r="T27" s="3"/>
      <c r="U27" s="3"/>
      <c r="V27" s="370"/>
      <c r="W27" s="371"/>
      <c r="X27" s="371"/>
      <c r="Y27" s="370"/>
      <c r="Z27" s="370">
        <f t="shared" si="0"/>
        <v>0</v>
      </c>
      <c r="AA27" s="371"/>
      <c r="AH27" s="403" t="s">
        <v>1166</v>
      </c>
      <c r="AI27" s="404"/>
      <c r="AJ27" s="404"/>
      <c r="AK27" s="405"/>
    </row>
    <row r="28" spans="2:57" ht="21.75" customHeight="1">
      <c r="C28" s="1">
        <f t="shared" si="1"/>
        <v>2</v>
      </c>
      <c r="D28" s="375"/>
      <c r="E28" s="376"/>
      <c r="F28" s="376"/>
      <c r="G28" s="376"/>
      <c r="H28" s="376"/>
      <c r="I28" s="376"/>
      <c r="J28" s="376"/>
      <c r="K28" s="376"/>
      <c r="L28" s="376"/>
      <c r="M28" s="376"/>
      <c r="N28" s="376"/>
      <c r="O28" s="376"/>
      <c r="P28" s="376"/>
      <c r="Q28" s="376"/>
      <c r="R28" s="376"/>
      <c r="S28" s="377"/>
      <c r="T28" s="3"/>
      <c r="U28" s="3"/>
      <c r="V28" s="370"/>
      <c r="W28" s="371"/>
      <c r="X28" s="371"/>
      <c r="Y28" s="370"/>
      <c r="Z28" s="370">
        <f t="shared" si="0"/>
        <v>0</v>
      </c>
      <c r="AA28" s="371"/>
      <c r="AH28" s="394" t="s">
        <v>108</v>
      </c>
      <c r="AI28" s="395"/>
      <c r="AJ28" s="395"/>
      <c r="AK28" s="395"/>
      <c r="AL28" s="395"/>
      <c r="AM28" s="395"/>
      <c r="AN28" s="396"/>
      <c r="AO28" s="80"/>
      <c r="AP28" s="81"/>
      <c r="AQ28" s="81"/>
      <c r="AR28" s="81"/>
      <c r="AS28" s="81"/>
      <c r="AT28" s="81"/>
      <c r="AU28" s="81"/>
      <c r="AV28" s="81"/>
      <c r="AW28" s="81"/>
      <c r="AX28" s="81"/>
      <c r="AY28" s="81"/>
      <c r="AZ28" s="81"/>
      <c r="BA28" s="81"/>
      <c r="BB28" s="81"/>
      <c r="BC28" s="81"/>
      <c r="BD28" s="81"/>
      <c r="BE28" s="81"/>
    </row>
    <row r="29" spans="2:57" ht="21.75" customHeight="1">
      <c r="C29" s="1">
        <f t="shared" si="1"/>
        <v>2</v>
      </c>
      <c r="D29" s="375"/>
      <c r="E29" s="376"/>
      <c r="F29" s="376"/>
      <c r="G29" s="376"/>
      <c r="H29" s="376"/>
      <c r="I29" s="376"/>
      <c r="J29" s="376"/>
      <c r="K29" s="376"/>
      <c r="L29" s="376"/>
      <c r="M29" s="376"/>
      <c r="N29" s="376"/>
      <c r="O29" s="376"/>
      <c r="P29" s="376"/>
      <c r="Q29" s="376"/>
      <c r="R29" s="376"/>
      <c r="S29" s="377"/>
      <c r="T29" s="3"/>
      <c r="U29" s="3"/>
      <c r="V29" s="370"/>
      <c r="W29" s="371"/>
      <c r="X29" s="371"/>
      <c r="Y29" s="370"/>
      <c r="Z29" s="370">
        <f t="shared" si="0"/>
        <v>0</v>
      </c>
      <c r="AA29" s="371"/>
      <c r="AD29" s="428"/>
      <c r="AE29" s="428"/>
      <c r="AH29" s="385" t="s">
        <v>1799</v>
      </c>
      <c r="AI29" s="386"/>
      <c r="AJ29" s="387"/>
      <c r="AK29" s="80"/>
      <c r="AL29" s="80"/>
      <c r="AM29" s="80"/>
      <c r="AN29" s="80"/>
      <c r="AO29" s="80"/>
      <c r="AP29" s="81"/>
      <c r="AQ29" s="81"/>
      <c r="AR29" s="81"/>
      <c r="AS29" s="81"/>
      <c r="AT29" s="81"/>
      <c r="AU29" s="81"/>
      <c r="AV29" s="81"/>
      <c r="AW29" s="81"/>
      <c r="AX29" s="81"/>
      <c r="AY29" s="81"/>
      <c r="AZ29" s="81"/>
      <c r="BA29" s="81"/>
      <c r="BB29" s="81"/>
      <c r="BC29" s="81"/>
      <c r="BD29" s="81"/>
      <c r="BE29" s="81"/>
    </row>
    <row r="30" spans="2:57" ht="21.75" customHeight="1">
      <c r="C30" s="1">
        <f t="shared" si="1"/>
        <v>2</v>
      </c>
      <c r="D30" s="375"/>
      <c r="E30" s="376"/>
      <c r="F30" s="376"/>
      <c r="G30" s="376"/>
      <c r="H30" s="376"/>
      <c r="I30" s="376"/>
      <c r="J30" s="376"/>
      <c r="K30" s="376"/>
      <c r="L30" s="376"/>
      <c r="M30" s="376"/>
      <c r="N30" s="376"/>
      <c r="O30" s="376"/>
      <c r="P30" s="376"/>
      <c r="Q30" s="376"/>
      <c r="R30" s="376"/>
      <c r="S30" s="377"/>
      <c r="T30" s="358"/>
      <c r="U30" s="3"/>
      <c r="V30" s="370"/>
      <c r="W30" s="371"/>
      <c r="X30" s="371"/>
      <c r="Y30" s="370"/>
      <c r="Z30" s="370">
        <f t="shared" si="0"/>
        <v>0</v>
      </c>
      <c r="AA30" s="371"/>
      <c r="AI30" s="12"/>
      <c r="AJ30" s="12"/>
    </row>
    <row r="31" spans="2:57" ht="21.75" customHeight="1">
      <c r="C31" s="1">
        <f t="shared" si="1"/>
        <v>2</v>
      </c>
      <c r="D31" s="375"/>
      <c r="E31" s="376"/>
      <c r="F31" s="376"/>
      <c r="G31" s="376"/>
      <c r="H31" s="376"/>
      <c r="I31" s="376"/>
      <c r="J31" s="376"/>
      <c r="K31" s="376"/>
      <c r="L31" s="376"/>
      <c r="M31" s="376"/>
      <c r="N31" s="376"/>
      <c r="O31" s="376"/>
      <c r="P31" s="376"/>
      <c r="Q31" s="376"/>
      <c r="R31" s="376"/>
      <c r="S31" s="377"/>
      <c r="T31" s="3"/>
      <c r="U31" s="3"/>
      <c r="V31" s="370"/>
      <c r="W31" s="371"/>
      <c r="X31" s="371"/>
      <c r="Y31" s="370"/>
      <c r="Z31" s="370">
        <f t="shared" si="0"/>
        <v>0</v>
      </c>
      <c r="AA31" s="371"/>
      <c r="AI31" s="12"/>
      <c r="AJ31" s="12"/>
    </row>
    <row r="32" spans="2:57" ht="21.75" customHeight="1">
      <c r="C32" s="1">
        <f t="shared" si="1"/>
        <v>2</v>
      </c>
      <c r="D32" s="378"/>
      <c r="E32" s="379"/>
      <c r="F32" s="379"/>
      <c r="G32" s="379"/>
      <c r="H32" s="379"/>
      <c r="I32" s="379"/>
      <c r="J32" s="379"/>
      <c r="K32" s="379"/>
      <c r="L32" s="379"/>
      <c r="M32" s="379"/>
      <c r="N32" s="379"/>
      <c r="O32" s="379"/>
      <c r="P32" s="379"/>
      <c r="Q32" s="379"/>
      <c r="R32" s="379"/>
      <c r="S32" s="380"/>
      <c r="T32" s="3"/>
      <c r="U32" s="3"/>
      <c r="V32" s="370"/>
      <c r="W32" s="371"/>
      <c r="X32" s="371"/>
      <c r="Y32" s="370"/>
      <c r="Z32" s="370">
        <f t="shared" si="0"/>
        <v>0</v>
      </c>
      <c r="AA32" s="371"/>
      <c r="AH32" s="82"/>
      <c r="AI32" s="12"/>
      <c r="AJ32" s="12"/>
    </row>
    <row r="33" spans="3:39" ht="21.75" customHeight="1">
      <c r="C33" s="1">
        <f t="shared" si="1"/>
        <v>2</v>
      </c>
      <c r="D33" s="378"/>
      <c r="E33" s="379"/>
      <c r="F33" s="379"/>
      <c r="G33" s="379"/>
      <c r="H33" s="379"/>
      <c r="I33" s="379"/>
      <c r="J33" s="379"/>
      <c r="K33" s="379"/>
      <c r="L33" s="379"/>
      <c r="M33" s="379"/>
      <c r="N33" s="379"/>
      <c r="O33" s="379"/>
      <c r="P33" s="379"/>
      <c r="Q33" s="379"/>
      <c r="R33" s="379"/>
      <c r="S33" s="380"/>
      <c r="T33" s="3"/>
      <c r="U33" s="3"/>
      <c r="V33" s="370"/>
      <c r="W33" s="371"/>
      <c r="X33" s="371"/>
      <c r="Y33" s="370"/>
      <c r="Z33" s="370">
        <f t="shared" si="0"/>
        <v>0</v>
      </c>
      <c r="AA33" s="371"/>
      <c r="AH33" s="83"/>
      <c r="AI33" s="12"/>
      <c r="AJ33" s="12"/>
    </row>
    <row r="34" spans="3:39" ht="21.75" customHeight="1">
      <c r="C34" s="1">
        <f t="shared" si="1"/>
        <v>2</v>
      </c>
      <c r="D34" s="445"/>
      <c r="E34" s="446"/>
      <c r="F34" s="446"/>
      <c r="G34" s="446"/>
      <c r="H34" s="446"/>
      <c r="I34" s="446"/>
      <c r="J34" s="446"/>
      <c r="K34" s="446"/>
      <c r="L34" s="446"/>
      <c r="M34" s="446"/>
      <c r="N34" s="446"/>
      <c r="O34" s="446"/>
      <c r="P34" s="446"/>
      <c r="Q34" s="446"/>
      <c r="R34" s="446"/>
      <c r="S34" s="447"/>
      <c r="T34" s="3"/>
      <c r="U34" s="3"/>
      <c r="V34" s="370"/>
      <c r="W34" s="371"/>
      <c r="X34" s="371"/>
      <c r="Y34" s="370"/>
      <c r="Z34" s="370">
        <f t="shared" si="0"/>
        <v>0</v>
      </c>
      <c r="AA34" s="371"/>
      <c r="AH34" s="12"/>
      <c r="AI34" s="12"/>
      <c r="AJ34" s="12"/>
    </row>
    <row r="35" spans="3:39" ht="21.75" customHeight="1">
      <c r="C35" s="1">
        <f t="shared" si="1"/>
        <v>2</v>
      </c>
      <c r="D35" s="445"/>
      <c r="E35" s="446"/>
      <c r="F35" s="446"/>
      <c r="G35" s="446"/>
      <c r="H35" s="446"/>
      <c r="I35" s="446"/>
      <c r="J35" s="446"/>
      <c r="K35" s="446"/>
      <c r="L35" s="446"/>
      <c r="M35" s="446"/>
      <c r="N35" s="446"/>
      <c r="O35" s="446"/>
      <c r="P35" s="446"/>
      <c r="Q35" s="446"/>
      <c r="R35" s="446"/>
      <c r="S35" s="447"/>
      <c r="T35" s="3"/>
      <c r="U35" s="3"/>
      <c r="V35" s="370"/>
      <c r="W35" s="371"/>
      <c r="X35" s="371"/>
      <c r="Y35" s="370"/>
      <c r="Z35" s="370">
        <f t="shared" si="0"/>
        <v>0</v>
      </c>
      <c r="AA35" s="371"/>
      <c r="AI35" s="12"/>
      <c r="AJ35" s="12"/>
      <c r="AK35" s="81"/>
      <c r="AL35" s="81"/>
      <c r="AM35" s="81"/>
    </row>
    <row r="36" spans="3:39" ht="21.75" customHeight="1">
      <c r="C36" s="1">
        <f t="shared" si="1"/>
        <v>2</v>
      </c>
      <c r="D36" s="375"/>
      <c r="E36" s="376"/>
      <c r="F36" s="376"/>
      <c r="G36" s="376"/>
      <c r="H36" s="376"/>
      <c r="I36" s="376"/>
      <c r="J36" s="376"/>
      <c r="K36" s="376"/>
      <c r="L36" s="376"/>
      <c r="M36" s="376"/>
      <c r="N36" s="376"/>
      <c r="O36" s="376"/>
      <c r="P36" s="376"/>
      <c r="Q36" s="376"/>
      <c r="R36" s="376"/>
      <c r="S36" s="377"/>
      <c r="T36" s="3"/>
      <c r="U36" s="3"/>
      <c r="V36" s="370"/>
      <c r="W36" s="371"/>
      <c r="X36" s="412"/>
      <c r="Y36" s="371"/>
      <c r="Z36" s="370">
        <f t="shared" si="0"/>
        <v>0</v>
      </c>
      <c r="AA36" s="371"/>
      <c r="AI36" s="12"/>
      <c r="AJ36" s="12"/>
      <c r="AK36" s="81"/>
      <c r="AL36" s="81"/>
      <c r="AM36" s="81"/>
    </row>
    <row r="37" spans="3:39" ht="21.75" customHeight="1">
      <c r="C37" s="1">
        <f t="shared" si="1"/>
        <v>2</v>
      </c>
      <c r="D37" s="375"/>
      <c r="E37" s="376"/>
      <c r="F37" s="376"/>
      <c r="G37" s="376"/>
      <c r="H37" s="376"/>
      <c r="I37" s="376"/>
      <c r="J37" s="376"/>
      <c r="K37" s="376"/>
      <c r="L37" s="376"/>
      <c r="M37" s="376"/>
      <c r="N37" s="376"/>
      <c r="O37" s="376"/>
      <c r="P37" s="376"/>
      <c r="Q37" s="376"/>
      <c r="R37" s="376"/>
      <c r="S37" s="377"/>
      <c r="T37" s="3"/>
      <c r="U37" s="3"/>
      <c r="V37" s="370"/>
      <c r="W37" s="371"/>
      <c r="X37" s="371"/>
      <c r="Y37" s="370"/>
      <c r="Z37" s="370">
        <f t="shared" si="0"/>
        <v>0</v>
      </c>
      <c r="AA37" s="371"/>
      <c r="AH37" s="12"/>
      <c r="AI37" s="12"/>
      <c r="AJ37" s="12"/>
    </row>
    <row r="38" spans="3:39" ht="21.75" customHeight="1">
      <c r="C38" s="1">
        <f t="shared" si="1"/>
        <v>2</v>
      </c>
      <c r="D38" s="375"/>
      <c r="E38" s="376"/>
      <c r="F38" s="376"/>
      <c r="G38" s="376"/>
      <c r="H38" s="376"/>
      <c r="I38" s="376"/>
      <c r="J38" s="376"/>
      <c r="K38" s="376"/>
      <c r="L38" s="376"/>
      <c r="M38" s="376"/>
      <c r="N38" s="376"/>
      <c r="O38" s="376"/>
      <c r="P38" s="376"/>
      <c r="Q38" s="376"/>
      <c r="R38" s="376"/>
      <c r="S38" s="377"/>
      <c r="T38" s="3"/>
      <c r="U38" s="3"/>
      <c r="V38" s="370"/>
      <c r="W38" s="371"/>
      <c r="X38" s="371"/>
      <c r="Y38" s="370"/>
      <c r="Z38" s="370">
        <f t="shared" si="0"/>
        <v>0</v>
      </c>
      <c r="AA38" s="371"/>
    </row>
    <row r="39" spans="3:39" ht="21.75" customHeight="1">
      <c r="C39" s="1">
        <f t="shared" si="1"/>
        <v>2</v>
      </c>
      <c r="D39" s="375"/>
      <c r="E39" s="376"/>
      <c r="F39" s="376"/>
      <c r="G39" s="376"/>
      <c r="H39" s="376"/>
      <c r="I39" s="376"/>
      <c r="J39" s="376"/>
      <c r="K39" s="376"/>
      <c r="L39" s="376"/>
      <c r="M39" s="376"/>
      <c r="N39" s="376"/>
      <c r="O39" s="376"/>
      <c r="P39" s="376"/>
      <c r="Q39" s="376"/>
      <c r="R39" s="376"/>
      <c r="S39" s="377"/>
      <c r="T39" s="3"/>
      <c r="U39" s="3"/>
      <c r="V39" s="370"/>
      <c r="W39" s="371"/>
      <c r="X39" s="371"/>
      <c r="Y39" s="370"/>
      <c r="Z39" s="370">
        <f t="shared" si="0"/>
        <v>0</v>
      </c>
      <c r="AA39" s="371"/>
    </row>
    <row r="40" spans="3:39" ht="21.75" customHeight="1">
      <c r="C40" s="1">
        <f t="shared" si="1"/>
        <v>2</v>
      </c>
      <c r="D40" s="375"/>
      <c r="E40" s="376"/>
      <c r="F40" s="376"/>
      <c r="G40" s="376"/>
      <c r="H40" s="376"/>
      <c r="I40" s="376"/>
      <c r="J40" s="376"/>
      <c r="K40" s="376"/>
      <c r="L40" s="376"/>
      <c r="M40" s="376"/>
      <c r="N40" s="376"/>
      <c r="O40" s="376"/>
      <c r="P40" s="376"/>
      <c r="Q40" s="376"/>
      <c r="R40" s="376"/>
      <c r="S40" s="377"/>
      <c r="T40" s="3"/>
      <c r="U40" s="3"/>
      <c r="V40" s="370"/>
      <c r="W40" s="371"/>
      <c r="X40" s="371"/>
      <c r="Y40" s="370"/>
      <c r="Z40" s="370">
        <f t="shared" si="0"/>
        <v>0</v>
      </c>
      <c r="AA40" s="371"/>
    </row>
    <row r="41" spans="3:39" ht="21.75" customHeight="1">
      <c r="C41" s="1">
        <f t="shared" si="1"/>
        <v>2</v>
      </c>
      <c r="D41" s="375"/>
      <c r="E41" s="376"/>
      <c r="F41" s="376"/>
      <c r="G41" s="376"/>
      <c r="H41" s="376"/>
      <c r="I41" s="376"/>
      <c r="J41" s="376"/>
      <c r="K41" s="376"/>
      <c r="L41" s="376"/>
      <c r="M41" s="376"/>
      <c r="N41" s="376"/>
      <c r="O41" s="376"/>
      <c r="P41" s="376"/>
      <c r="Q41" s="376"/>
      <c r="R41" s="376"/>
      <c r="S41" s="377"/>
      <c r="T41" s="3"/>
      <c r="U41" s="3"/>
      <c r="V41" s="370"/>
      <c r="W41" s="371"/>
      <c r="X41" s="371"/>
      <c r="Y41" s="370"/>
      <c r="Z41" s="370">
        <f t="shared" si="0"/>
        <v>0</v>
      </c>
      <c r="AA41" s="371"/>
      <c r="AH41" s="84"/>
    </row>
    <row r="42" spans="3:39" ht="21.75" customHeight="1">
      <c r="C42" s="1">
        <f t="shared" si="1"/>
        <v>2</v>
      </c>
      <c r="D42" s="375"/>
      <c r="E42" s="376"/>
      <c r="F42" s="376"/>
      <c r="G42" s="376"/>
      <c r="H42" s="376"/>
      <c r="I42" s="376"/>
      <c r="J42" s="376"/>
      <c r="K42" s="376"/>
      <c r="L42" s="376"/>
      <c r="M42" s="376"/>
      <c r="N42" s="376"/>
      <c r="O42" s="376"/>
      <c r="P42" s="376"/>
      <c r="Q42" s="376"/>
      <c r="R42" s="376"/>
      <c r="S42" s="377"/>
      <c r="T42" s="359"/>
      <c r="U42" s="3"/>
      <c r="V42" s="370"/>
      <c r="W42" s="371"/>
      <c r="X42" s="371"/>
      <c r="Y42" s="370"/>
      <c r="Z42" s="370">
        <f t="shared" si="0"/>
        <v>0</v>
      </c>
      <c r="AA42" s="371"/>
      <c r="AH42" s="85"/>
    </row>
    <row r="43" spans="3:39" ht="21.75" customHeight="1">
      <c r="C43" s="1">
        <f t="shared" si="1"/>
        <v>2</v>
      </c>
      <c r="D43" s="375"/>
      <c r="E43" s="376"/>
      <c r="F43" s="376"/>
      <c r="G43" s="376"/>
      <c r="H43" s="376"/>
      <c r="I43" s="376"/>
      <c r="J43" s="376"/>
      <c r="K43" s="376"/>
      <c r="L43" s="376"/>
      <c r="M43" s="376"/>
      <c r="N43" s="376"/>
      <c r="O43" s="376"/>
      <c r="P43" s="376"/>
      <c r="Q43" s="376"/>
      <c r="R43" s="376"/>
      <c r="S43" s="377"/>
      <c r="T43" s="3"/>
      <c r="U43" s="3"/>
      <c r="V43" s="370"/>
      <c r="W43" s="371"/>
      <c r="X43" s="371"/>
      <c r="Y43" s="370"/>
      <c r="Z43" s="370">
        <f t="shared" si="0"/>
        <v>0</v>
      </c>
      <c r="AA43" s="371"/>
    </row>
    <row r="44" spans="3:39" ht="21.75" customHeight="1">
      <c r="C44" s="1">
        <f t="shared" si="1"/>
        <v>2</v>
      </c>
      <c r="D44" s="375"/>
      <c r="E44" s="376"/>
      <c r="F44" s="376"/>
      <c r="G44" s="376"/>
      <c r="H44" s="376"/>
      <c r="I44" s="376"/>
      <c r="J44" s="376"/>
      <c r="K44" s="376"/>
      <c r="L44" s="376"/>
      <c r="M44" s="376"/>
      <c r="N44" s="376"/>
      <c r="O44" s="376"/>
      <c r="P44" s="376"/>
      <c r="Q44" s="376"/>
      <c r="R44" s="376"/>
      <c r="S44" s="377"/>
      <c r="T44" s="3"/>
      <c r="U44" s="3"/>
      <c r="V44" s="370"/>
      <c r="W44" s="371"/>
      <c r="X44" s="371"/>
      <c r="Y44" s="370"/>
      <c r="Z44" s="370">
        <f t="shared" si="0"/>
        <v>0</v>
      </c>
      <c r="AA44" s="371"/>
    </row>
    <row r="45" spans="3:39" ht="21.75" customHeight="1">
      <c r="C45" s="1">
        <f t="shared" si="1"/>
        <v>2</v>
      </c>
      <c r="D45" s="378"/>
      <c r="E45" s="379"/>
      <c r="F45" s="379"/>
      <c r="G45" s="379"/>
      <c r="H45" s="379"/>
      <c r="I45" s="379"/>
      <c r="J45" s="379"/>
      <c r="K45" s="379"/>
      <c r="L45" s="379"/>
      <c r="M45" s="379"/>
      <c r="N45" s="379"/>
      <c r="O45" s="379"/>
      <c r="P45" s="379"/>
      <c r="Q45" s="379"/>
      <c r="R45" s="379"/>
      <c r="S45" s="380"/>
      <c r="T45" s="3"/>
      <c r="U45" s="3"/>
      <c r="V45" s="370"/>
      <c r="W45" s="371"/>
      <c r="X45" s="371"/>
      <c r="Y45" s="370"/>
      <c r="Z45" s="370">
        <f t="shared" si="0"/>
        <v>0</v>
      </c>
      <c r="AA45" s="371"/>
    </row>
    <row r="46" spans="3:39" ht="21.75" customHeight="1">
      <c r="C46" s="1">
        <f t="shared" si="1"/>
        <v>2</v>
      </c>
      <c r="D46" s="378"/>
      <c r="E46" s="379"/>
      <c r="F46" s="379"/>
      <c r="G46" s="379"/>
      <c r="H46" s="379"/>
      <c r="I46" s="379"/>
      <c r="J46" s="379"/>
      <c r="K46" s="379"/>
      <c r="L46" s="379"/>
      <c r="M46" s="379"/>
      <c r="N46" s="379"/>
      <c r="O46" s="379"/>
      <c r="P46" s="379"/>
      <c r="Q46" s="379"/>
      <c r="R46" s="379"/>
      <c r="S46" s="380"/>
      <c r="T46" s="3"/>
      <c r="U46" s="3"/>
      <c r="V46" s="370"/>
      <c r="W46" s="371"/>
      <c r="X46" s="371"/>
      <c r="Y46" s="370"/>
      <c r="Z46" s="370">
        <f t="shared" si="0"/>
        <v>0</v>
      </c>
      <c r="AA46" s="371"/>
    </row>
    <row r="47" spans="3:39" ht="21.75" customHeight="1">
      <c r="C47" s="1">
        <f t="shared" si="1"/>
        <v>2</v>
      </c>
      <c r="D47" s="378"/>
      <c r="E47" s="379"/>
      <c r="F47" s="379"/>
      <c r="G47" s="379"/>
      <c r="H47" s="379"/>
      <c r="I47" s="379"/>
      <c r="J47" s="379"/>
      <c r="K47" s="379"/>
      <c r="L47" s="379"/>
      <c r="M47" s="379"/>
      <c r="N47" s="379"/>
      <c r="O47" s="379"/>
      <c r="P47" s="379"/>
      <c r="Q47" s="379"/>
      <c r="R47" s="379"/>
      <c r="S47" s="380"/>
      <c r="T47" s="3"/>
      <c r="U47" s="3"/>
      <c r="V47" s="370"/>
      <c r="W47" s="371"/>
      <c r="X47" s="412"/>
      <c r="Y47" s="371"/>
      <c r="Z47" s="370">
        <f t="shared" si="0"/>
        <v>0</v>
      </c>
      <c r="AA47" s="371"/>
    </row>
    <row r="48" spans="3:39" ht="21.75" customHeight="1">
      <c r="C48" s="1">
        <f t="shared" si="1"/>
        <v>2</v>
      </c>
      <c r="D48" s="375"/>
      <c r="E48" s="376"/>
      <c r="F48" s="376"/>
      <c r="G48" s="376"/>
      <c r="H48" s="376"/>
      <c r="I48" s="376"/>
      <c r="J48" s="376"/>
      <c r="K48" s="376"/>
      <c r="L48" s="376"/>
      <c r="M48" s="376"/>
      <c r="N48" s="376"/>
      <c r="O48" s="376"/>
      <c r="P48" s="376"/>
      <c r="Q48" s="376"/>
      <c r="R48" s="376"/>
      <c r="S48" s="377"/>
      <c r="T48" s="3"/>
      <c r="U48" s="3"/>
      <c r="V48" s="370"/>
      <c r="W48" s="371"/>
      <c r="X48" s="371"/>
      <c r="Y48" s="370"/>
      <c r="Z48" s="370">
        <f t="shared" si="0"/>
        <v>0</v>
      </c>
      <c r="AA48" s="371"/>
    </row>
    <row r="49" spans="3:31" ht="21.75" customHeight="1">
      <c r="C49" s="1">
        <f t="shared" si="1"/>
        <v>2</v>
      </c>
      <c r="D49" s="375"/>
      <c r="E49" s="376"/>
      <c r="F49" s="376"/>
      <c r="G49" s="376"/>
      <c r="H49" s="376"/>
      <c r="I49" s="376"/>
      <c r="J49" s="376"/>
      <c r="K49" s="376"/>
      <c r="L49" s="376"/>
      <c r="M49" s="376"/>
      <c r="N49" s="376"/>
      <c r="O49" s="376"/>
      <c r="P49" s="376"/>
      <c r="Q49" s="376"/>
      <c r="R49" s="376"/>
      <c r="S49" s="377"/>
      <c r="T49" s="3"/>
      <c r="U49" s="3"/>
      <c r="V49" s="370"/>
      <c r="W49" s="371"/>
      <c r="X49" s="371"/>
      <c r="Y49" s="370"/>
      <c r="Z49" s="370">
        <f t="shared" si="0"/>
        <v>0</v>
      </c>
      <c r="AA49" s="371"/>
    </row>
    <row r="50" spans="3:31" ht="21.75" customHeight="1">
      <c r="C50" s="1">
        <f t="shared" si="1"/>
        <v>2</v>
      </c>
      <c r="D50" s="375"/>
      <c r="E50" s="376"/>
      <c r="F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77"/>
      <c r="T50" s="3"/>
      <c r="U50" s="3"/>
      <c r="V50" s="370"/>
      <c r="W50" s="371"/>
      <c r="X50" s="371"/>
      <c r="Y50" s="370"/>
      <c r="Z50" s="370">
        <f t="shared" si="0"/>
        <v>0</v>
      </c>
      <c r="AA50" s="371"/>
    </row>
    <row r="51" spans="3:31" ht="21.75" customHeight="1">
      <c r="C51" s="1">
        <f t="shared" si="1"/>
        <v>2</v>
      </c>
      <c r="D51" s="375"/>
      <c r="E51" s="376"/>
      <c r="F51" s="376"/>
      <c r="G51" s="376"/>
      <c r="H51" s="376"/>
      <c r="I51" s="376"/>
      <c r="J51" s="376"/>
      <c r="K51" s="376"/>
      <c r="L51" s="376"/>
      <c r="M51" s="376"/>
      <c r="N51" s="376"/>
      <c r="O51" s="376"/>
      <c r="P51" s="376"/>
      <c r="Q51" s="376"/>
      <c r="R51" s="376"/>
      <c r="S51" s="377"/>
      <c r="T51" s="3"/>
      <c r="U51" s="3"/>
      <c r="V51" s="370"/>
      <c r="W51" s="371"/>
      <c r="X51" s="371"/>
      <c r="Y51" s="370"/>
      <c r="Z51" s="370">
        <f t="shared" si="0"/>
        <v>0</v>
      </c>
      <c r="AA51" s="371"/>
    </row>
    <row r="52" spans="3:31" ht="21.75" customHeight="1">
      <c r="C52" s="1">
        <f t="shared" si="1"/>
        <v>2</v>
      </c>
      <c r="D52" s="375"/>
      <c r="E52" s="376"/>
      <c r="F52" s="376"/>
      <c r="G52" s="376"/>
      <c r="H52" s="376"/>
      <c r="I52" s="376"/>
      <c r="J52" s="376"/>
      <c r="K52" s="376"/>
      <c r="L52" s="376"/>
      <c r="M52" s="376"/>
      <c r="N52" s="376"/>
      <c r="O52" s="376"/>
      <c r="P52" s="376"/>
      <c r="Q52" s="376"/>
      <c r="R52" s="376"/>
      <c r="S52" s="377"/>
      <c r="T52" s="3"/>
      <c r="U52" s="3"/>
      <c r="V52" s="370"/>
      <c r="W52" s="371"/>
      <c r="X52" s="371"/>
      <c r="Y52" s="370"/>
      <c r="Z52" s="370">
        <f t="shared" si="0"/>
        <v>0</v>
      </c>
      <c r="AA52" s="371"/>
    </row>
    <row r="53" spans="3:31" ht="21.75" customHeight="1">
      <c r="C53" s="1">
        <f t="shared" si="1"/>
        <v>2</v>
      </c>
      <c r="D53" s="375"/>
      <c r="E53" s="376"/>
      <c r="F53" s="376"/>
      <c r="G53" s="376"/>
      <c r="H53" s="376"/>
      <c r="I53" s="376"/>
      <c r="J53" s="376"/>
      <c r="K53" s="376"/>
      <c r="L53" s="376"/>
      <c r="M53" s="376"/>
      <c r="N53" s="376"/>
      <c r="O53" s="376"/>
      <c r="P53" s="376"/>
      <c r="Q53" s="376"/>
      <c r="R53" s="376"/>
      <c r="S53" s="377"/>
      <c r="T53" s="3"/>
      <c r="U53" s="3"/>
      <c r="V53" s="370"/>
      <c r="W53" s="371"/>
      <c r="X53" s="371"/>
      <c r="Y53" s="370"/>
      <c r="Z53" s="370">
        <f t="shared" si="0"/>
        <v>0</v>
      </c>
      <c r="AA53" s="371"/>
    </row>
    <row r="54" spans="3:31" ht="21.75" customHeight="1">
      <c r="C54" s="1">
        <f t="shared" si="1"/>
        <v>2</v>
      </c>
      <c r="D54" s="375"/>
      <c r="E54" s="376"/>
      <c r="F54" s="376"/>
      <c r="G54" s="376"/>
      <c r="H54" s="376"/>
      <c r="I54" s="376"/>
      <c r="J54" s="376"/>
      <c r="K54" s="376"/>
      <c r="L54" s="376"/>
      <c r="M54" s="376"/>
      <c r="N54" s="376"/>
      <c r="O54" s="376"/>
      <c r="P54" s="376"/>
      <c r="Q54" s="376"/>
      <c r="R54" s="376"/>
      <c r="S54" s="377"/>
      <c r="T54" s="3"/>
      <c r="U54" s="3"/>
      <c r="V54" s="370"/>
      <c r="W54" s="371"/>
      <c r="X54" s="371"/>
      <c r="Y54" s="370"/>
      <c r="Z54" s="370">
        <f t="shared" si="0"/>
        <v>0</v>
      </c>
      <c r="AA54" s="371"/>
    </row>
    <row r="55" spans="3:31" ht="21.75" customHeight="1">
      <c r="C55" s="1">
        <f t="shared" si="1"/>
        <v>2</v>
      </c>
      <c r="D55" s="375"/>
      <c r="E55" s="376"/>
      <c r="F55" s="376"/>
      <c r="G55" s="376"/>
      <c r="H55" s="376"/>
      <c r="I55" s="376"/>
      <c r="J55" s="376"/>
      <c r="K55" s="376"/>
      <c r="L55" s="376"/>
      <c r="M55" s="376"/>
      <c r="N55" s="376"/>
      <c r="O55" s="376"/>
      <c r="P55" s="376"/>
      <c r="Q55" s="376"/>
      <c r="R55" s="376"/>
      <c r="S55" s="377"/>
      <c r="T55" s="3"/>
      <c r="U55" s="3"/>
      <c r="V55" s="370"/>
      <c r="W55" s="371"/>
      <c r="X55" s="371"/>
      <c r="Y55" s="370"/>
      <c r="Z55" s="370">
        <f t="shared" si="0"/>
        <v>0</v>
      </c>
      <c r="AA55" s="371"/>
    </row>
    <row r="56" spans="3:31" ht="21.75" customHeight="1">
      <c r="C56" s="1">
        <f t="shared" si="1"/>
        <v>2</v>
      </c>
      <c r="D56" s="375"/>
      <c r="E56" s="376"/>
      <c r="F56" s="376"/>
      <c r="G56" s="376"/>
      <c r="H56" s="376"/>
      <c r="I56" s="376"/>
      <c r="J56" s="376"/>
      <c r="K56" s="376"/>
      <c r="L56" s="376"/>
      <c r="M56" s="376"/>
      <c r="N56" s="376"/>
      <c r="O56" s="376"/>
      <c r="P56" s="376"/>
      <c r="Q56" s="376"/>
      <c r="R56" s="376"/>
      <c r="S56" s="377"/>
      <c r="T56" s="3"/>
      <c r="U56" s="3"/>
      <c r="V56" s="370"/>
      <c r="W56" s="371"/>
      <c r="X56" s="371"/>
      <c r="Y56" s="370"/>
      <c r="Z56" s="370">
        <f t="shared" si="0"/>
        <v>0</v>
      </c>
      <c r="AA56" s="371"/>
    </row>
    <row r="57" spans="3:31" ht="21.75" customHeight="1">
      <c r="C57" s="1">
        <f t="shared" si="1"/>
        <v>2</v>
      </c>
      <c r="D57" s="375"/>
      <c r="E57" s="376"/>
      <c r="F57" s="376"/>
      <c r="G57" s="376"/>
      <c r="H57" s="376"/>
      <c r="I57" s="376"/>
      <c r="J57" s="376"/>
      <c r="K57" s="376"/>
      <c r="L57" s="376"/>
      <c r="M57" s="376"/>
      <c r="N57" s="376"/>
      <c r="O57" s="376"/>
      <c r="P57" s="376"/>
      <c r="Q57" s="376"/>
      <c r="R57" s="376"/>
      <c r="S57" s="377"/>
      <c r="T57" s="3"/>
      <c r="U57" s="3"/>
      <c r="V57" s="370"/>
      <c r="W57" s="371"/>
      <c r="X57" s="371"/>
      <c r="Y57" s="370"/>
      <c r="Z57" s="370">
        <f t="shared" si="0"/>
        <v>0</v>
      </c>
      <c r="AA57" s="371"/>
    </row>
    <row r="58" spans="3:31" ht="21.75" customHeight="1">
      <c r="C58" s="1">
        <f t="shared" si="1"/>
        <v>2</v>
      </c>
      <c r="D58" s="375"/>
      <c r="E58" s="376"/>
      <c r="F58" s="376"/>
      <c r="G58" s="376"/>
      <c r="H58" s="376"/>
      <c r="I58" s="376"/>
      <c r="J58" s="376"/>
      <c r="K58" s="376"/>
      <c r="L58" s="376"/>
      <c r="M58" s="376"/>
      <c r="N58" s="376"/>
      <c r="O58" s="376"/>
      <c r="P58" s="376"/>
      <c r="Q58" s="376"/>
      <c r="R58" s="376"/>
      <c r="S58" s="377"/>
      <c r="T58" s="3"/>
      <c r="U58" s="3"/>
      <c r="V58" s="370"/>
      <c r="W58" s="371"/>
      <c r="X58" s="371"/>
      <c r="Y58" s="370"/>
      <c r="Z58" s="370">
        <f t="shared" si="0"/>
        <v>0</v>
      </c>
      <c r="AA58" s="371"/>
    </row>
    <row r="59" spans="3:31" ht="21.75" customHeight="1">
      <c r="C59" s="1">
        <f t="shared" si="1"/>
        <v>2</v>
      </c>
      <c r="D59" s="375"/>
      <c r="E59" s="376"/>
      <c r="F59" s="376"/>
      <c r="G59" s="376"/>
      <c r="H59" s="376"/>
      <c r="I59" s="376"/>
      <c r="J59" s="376"/>
      <c r="K59" s="376"/>
      <c r="L59" s="376"/>
      <c r="M59" s="376"/>
      <c r="N59" s="376"/>
      <c r="O59" s="376"/>
      <c r="P59" s="376"/>
      <c r="Q59" s="376"/>
      <c r="R59" s="376"/>
      <c r="S59" s="377"/>
      <c r="T59" s="3"/>
      <c r="U59" s="3"/>
      <c r="V59" s="370"/>
      <c r="W59" s="371"/>
      <c r="X59" s="412"/>
      <c r="Y59" s="371"/>
      <c r="Z59" s="370">
        <f t="shared" si="0"/>
        <v>0</v>
      </c>
      <c r="AA59" s="371"/>
    </row>
    <row r="60" spans="3:31" ht="21.75" customHeight="1">
      <c r="C60" s="1">
        <f t="shared" si="1"/>
        <v>2</v>
      </c>
      <c r="D60" s="375"/>
      <c r="E60" s="376"/>
      <c r="F60" s="376"/>
      <c r="G60" s="376"/>
      <c r="H60" s="376"/>
      <c r="I60" s="376"/>
      <c r="J60" s="376"/>
      <c r="K60" s="376"/>
      <c r="L60" s="376"/>
      <c r="M60" s="376"/>
      <c r="N60" s="376"/>
      <c r="O60" s="376"/>
      <c r="P60" s="376"/>
      <c r="Q60" s="376"/>
      <c r="R60" s="376"/>
      <c r="S60" s="377"/>
      <c r="T60" s="3"/>
      <c r="U60" s="3"/>
      <c r="V60" s="370"/>
      <c r="W60" s="371"/>
      <c r="X60" s="412"/>
      <c r="Y60" s="371"/>
      <c r="Z60" s="370">
        <f t="shared" si="0"/>
        <v>0</v>
      </c>
      <c r="AA60" s="371"/>
    </row>
    <row r="61" spans="3:31" ht="21.75" customHeight="1">
      <c r="C61" s="103">
        <f t="shared" si="1"/>
        <v>2</v>
      </c>
      <c r="D61" s="372"/>
      <c r="E61" s="373"/>
      <c r="F61" s="373"/>
      <c r="G61" s="373"/>
      <c r="H61" s="373"/>
      <c r="I61" s="373"/>
      <c r="J61" s="373"/>
      <c r="K61" s="373"/>
      <c r="L61" s="373"/>
      <c r="M61" s="373"/>
      <c r="N61" s="373"/>
      <c r="O61" s="373"/>
      <c r="P61" s="373"/>
      <c r="Q61" s="373"/>
      <c r="R61" s="373"/>
      <c r="S61" s="374"/>
      <c r="T61" s="360"/>
      <c r="U61" s="360"/>
      <c r="V61" s="411"/>
      <c r="W61" s="410"/>
      <c r="X61" s="410"/>
      <c r="Y61" s="411"/>
      <c r="Z61" s="411">
        <f>U61*X61</f>
        <v>0</v>
      </c>
      <c r="AA61" s="410"/>
    </row>
    <row r="62" spans="3:31" ht="27">
      <c r="C62" s="86"/>
      <c r="D62" s="379"/>
      <c r="E62" s="379"/>
      <c r="F62" s="379"/>
      <c r="G62" s="379"/>
      <c r="H62" s="379"/>
      <c r="I62" s="379"/>
      <c r="J62" s="379"/>
      <c r="K62" s="379"/>
      <c r="L62" s="379"/>
      <c r="M62" s="379"/>
      <c r="N62" s="379"/>
      <c r="O62" s="379"/>
      <c r="P62" s="379"/>
      <c r="Q62" s="379"/>
      <c r="R62" s="379"/>
      <c r="S62" s="379"/>
      <c r="T62" s="12"/>
      <c r="U62" s="12"/>
      <c r="V62" s="12"/>
      <c r="W62" s="12"/>
      <c r="X62" s="12"/>
      <c r="Y62" s="12"/>
      <c r="Z62" s="12"/>
      <c r="AA62" s="12"/>
      <c r="AE62" s="87" t="s">
        <v>1178</v>
      </c>
    </row>
    <row r="63" spans="3:31" ht="15" customHeight="1">
      <c r="C63" s="381" t="s">
        <v>0</v>
      </c>
      <c r="D63" s="381"/>
      <c r="E63" s="381"/>
      <c r="F63" s="381"/>
      <c r="G63" s="382"/>
      <c r="H63" s="381" t="s">
        <v>1189</v>
      </c>
      <c r="I63" s="381"/>
      <c r="J63" s="381"/>
      <c r="K63" s="381"/>
      <c r="L63" s="382"/>
      <c r="M63" s="381" t="s">
        <v>1190</v>
      </c>
      <c r="N63" s="381"/>
      <c r="O63" s="381"/>
      <c r="P63" s="381"/>
      <c r="Q63" s="382"/>
      <c r="R63" s="381" t="s">
        <v>1191</v>
      </c>
      <c r="S63" s="381"/>
      <c r="U63" s="382" t="s">
        <v>1151</v>
      </c>
      <c r="V63" s="449"/>
      <c r="W63" s="449"/>
      <c r="X63" s="449"/>
      <c r="Y63" s="449"/>
      <c r="Z63" s="449"/>
      <c r="AA63" s="450"/>
      <c r="AE63" s="361">
        <v>4</v>
      </c>
    </row>
    <row r="64" spans="3:31" ht="12.75" customHeight="1">
      <c r="C64" s="383">
        <f>SUM(Z23:AA61)</f>
        <v>0</v>
      </c>
      <c r="D64" s="383"/>
      <c r="E64" s="383"/>
      <c r="F64" s="383"/>
      <c r="G64" s="384"/>
      <c r="H64" s="383">
        <f>(SUMIF(C23:C61,"=1",Z23:AA61))*20%</f>
        <v>0</v>
      </c>
      <c r="I64" s="383"/>
      <c r="J64" s="383"/>
      <c r="K64" s="383"/>
      <c r="L64" s="384"/>
      <c r="M64" s="383">
        <f>(SUMIF(C23:C61,"=2",Z23:AA61))*10%</f>
        <v>0</v>
      </c>
      <c r="N64" s="383"/>
      <c r="O64" s="383"/>
      <c r="P64" s="383"/>
      <c r="Q64" s="384"/>
      <c r="R64" s="383">
        <f>(SUMIF(C23:C61,"=3",Z23:AA61))*5.5%</f>
        <v>0</v>
      </c>
      <c r="S64" s="383"/>
      <c r="T64" s="6"/>
      <c r="U64" s="364">
        <f>C64+H64+M64+R64</f>
        <v>0</v>
      </c>
      <c r="V64" s="365"/>
      <c r="W64" s="365"/>
      <c r="X64" s="365"/>
      <c r="Y64" s="365"/>
      <c r="Z64" s="365"/>
      <c r="AA64" s="366"/>
      <c r="AE64" s="362"/>
    </row>
    <row r="65" spans="2:31" ht="12.75" customHeight="1">
      <c r="C65" s="383"/>
      <c r="D65" s="383"/>
      <c r="E65" s="383"/>
      <c r="F65" s="383"/>
      <c r="G65" s="384"/>
      <c r="H65" s="383"/>
      <c r="I65" s="383"/>
      <c r="J65" s="383"/>
      <c r="K65" s="383"/>
      <c r="L65" s="384"/>
      <c r="M65" s="383"/>
      <c r="N65" s="383"/>
      <c r="O65" s="383"/>
      <c r="P65" s="383"/>
      <c r="Q65" s="384"/>
      <c r="R65" s="383"/>
      <c r="S65" s="383"/>
      <c r="T65" s="7"/>
      <c r="U65" s="367"/>
      <c r="V65" s="368"/>
      <c r="W65" s="368"/>
      <c r="X65" s="368"/>
      <c r="Y65" s="368"/>
      <c r="Z65" s="368"/>
      <c r="AA65" s="369"/>
      <c r="AE65" s="363"/>
    </row>
    <row r="66" spans="2:31">
      <c r="C66" s="86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</row>
    <row r="67" spans="2:31" ht="21.75" customHeight="1">
      <c r="D67" s="88"/>
      <c r="E67" s="88"/>
      <c r="F67" s="413" t="str">
        <f>IF(AE15&lt;=2,AH22,AH21)</f>
        <v>EN VOTRE AIMABLE REGLEMENT A RECEPTION.</v>
      </c>
      <c r="G67" s="413"/>
      <c r="H67" s="413"/>
      <c r="I67" s="413"/>
      <c r="J67" s="413"/>
      <c r="K67" s="413"/>
      <c r="L67" s="413"/>
      <c r="M67" s="413"/>
      <c r="N67" s="413"/>
      <c r="O67" s="413"/>
      <c r="P67" s="413"/>
      <c r="Q67" s="417" t="str">
        <f>IF(AF15="non","",AH26)</f>
        <v/>
      </c>
      <c r="R67" s="417"/>
      <c r="S67" s="417"/>
      <c r="T67" s="417"/>
      <c r="U67" s="417"/>
      <c r="V67" s="417"/>
      <c r="W67" s="417"/>
      <c r="X67" s="417"/>
      <c r="Y67" s="448" t="str">
        <f>IF(AF15="non","",U64*30/100)</f>
        <v/>
      </c>
      <c r="Z67" s="448"/>
    </row>
    <row r="68" spans="2:31" ht="11.25" customHeight="1">
      <c r="S68" s="8"/>
      <c r="T68" s="8"/>
      <c r="U68" s="8"/>
      <c r="V68" s="8"/>
      <c r="W68" s="8"/>
      <c r="X68" s="89"/>
      <c r="Y68" s="89"/>
      <c r="Z68" s="89"/>
      <c r="AA68" s="82"/>
    </row>
    <row r="69" spans="2:31" ht="21.75" customHeight="1">
      <c r="Q69" s="414" t="s">
        <v>1152</v>
      </c>
      <c r="R69" s="415"/>
      <c r="S69" s="415"/>
      <c r="T69" s="415"/>
      <c r="U69" s="415"/>
      <c r="V69" s="415"/>
      <c r="W69" s="416"/>
      <c r="X69" s="89"/>
      <c r="Y69" s="89"/>
      <c r="Z69" s="89"/>
      <c r="AA69" s="82"/>
    </row>
    <row r="70" spans="2:31" ht="21.75" customHeight="1">
      <c r="B70" s="90"/>
      <c r="C70" s="90"/>
      <c r="D70" s="90"/>
      <c r="E70" s="90"/>
      <c r="F70" s="90"/>
      <c r="G70" s="90"/>
      <c r="H70" s="91"/>
      <c r="I70" s="90"/>
      <c r="J70" s="90"/>
      <c r="K70" s="90"/>
      <c r="L70" s="90"/>
      <c r="M70" s="90"/>
      <c r="N70" s="90"/>
      <c r="O70" s="90"/>
      <c r="P70" s="92"/>
      <c r="Q70" s="93"/>
      <c r="R70" s="8"/>
      <c r="S70" s="8"/>
      <c r="T70" s="8"/>
      <c r="U70" s="8"/>
      <c r="V70" s="8"/>
      <c r="W70" s="94"/>
      <c r="X70" s="89"/>
      <c r="Y70" s="89"/>
      <c r="Z70" s="89"/>
      <c r="AA70" s="82"/>
    </row>
    <row r="71" spans="2:31" ht="21.75" customHeight="1">
      <c r="Q71" s="93"/>
      <c r="R71" s="8"/>
      <c r="S71" s="8"/>
      <c r="T71" s="8"/>
      <c r="U71" s="8"/>
      <c r="V71" s="8"/>
      <c r="W71" s="94"/>
      <c r="X71" s="89"/>
      <c r="Y71" s="89"/>
      <c r="Z71" s="89"/>
      <c r="AA71" s="82"/>
    </row>
    <row r="72" spans="2:31" ht="12.75" customHeight="1" outlineLevel="1"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6"/>
      <c r="P72" s="96"/>
      <c r="Q72" s="97"/>
      <c r="R72" s="98"/>
      <c r="S72" s="98"/>
      <c r="T72" s="98"/>
      <c r="U72" s="98"/>
      <c r="V72" s="98"/>
      <c r="W72" s="99"/>
      <c r="X72" s="100"/>
      <c r="Y72" s="100"/>
      <c r="Z72" s="100"/>
      <c r="AA72" s="101"/>
    </row>
    <row r="73" spans="2:31" ht="12.75" customHeight="1" outlineLevel="1"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6"/>
      <c r="P73" s="96"/>
      <c r="Q73" s="96"/>
      <c r="R73" s="96"/>
      <c r="S73" s="96"/>
      <c r="T73" s="96"/>
      <c r="U73" s="100"/>
      <c r="V73" s="100"/>
      <c r="W73" s="100"/>
      <c r="X73" s="100"/>
      <c r="Y73" s="100"/>
      <c r="Z73" s="100"/>
      <c r="AA73" s="101"/>
    </row>
    <row r="74" spans="2:31" hidden="1" outlineLevel="1">
      <c r="O74" s="96"/>
      <c r="P74" s="96"/>
      <c r="Q74" s="96"/>
      <c r="R74" s="96"/>
      <c r="S74" s="96"/>
      <c r="T74" s="96"/>
      <c r="U74" s="100"/>
      <c r="V74" s="100"/>
      <c r="W74" s="100"/>
      <c r="X74" s="100"/>
      <c r="Y74" s="100"/>
      <c r="Z74" s="100"/>
      <c r="AA74" s="8"/>
    </row>
    <row r="75" spans="2:31" hidden="1" outlineLevel="1">
      <c r="U75" s="8"/>
      <c r="V75" s="8"/>
      <c r="W75" s="8"/>
      <c r="X75" s="8"/>
      <c r="Y75" s="8"/>
      <c r="Z75" s="8"/>
      <c r="AA75" s="8"/>
    </row>
    <row r="76" spans="2:31" hidden="1" outlineLevel="1">
      <c r="U76" s="8"/>
      <c r="V76" s="8"/>
      <c r="W76" s="8"/>
      <c r="X76" s="8"/>
      <c r="Y76" s="8"/>
      <c r="Z76" s="8"/>
      <c r="AA76" s="8"/>
    </row>
    <row r="77" spans="2:31" hidden="1" outlineLevel="1"/>
    <row r="78" spans="2:31" collapsed="1">
      <c r="B78" s="409" t="str">
        <f>IF(AE15&lt;=2,AH27,AH23)</f>
        <v>RESERVE DE PROPRIETE: Passé cette date, il sera fait application d'une pénalité égale à 15%. Escompte néant</v>
      </c>
      <c r="C78" s="409"/>
      <c r="D78" s="409"/>
      <c r="E78" s="409"/>
      <c r="F78" s="409"/>
      <c r="G78" s="409"/>
      <c r="H78" s="409"/>
      <c r="I78" s="409"/>
      <c r="J78" s="409"/>
      <c r="K78" s="409"/>
      <c r="L78" s="409"/>
      <c r="M78" s="409"/>
      <c r="N78" s="409"/>
      <c r="O78" s="409"/>
      <c r="P78" s="409"/>
      <c r="Q78" s="409"/>
      <c r="R78" s="409"/>
      <c r="S78" s="409"/>
      <c r="T78" s="409"/>
      <c r="U78" s="409"/>
      <c r="V78" s="409"/>
      <c r="W78" s="409"/>
      <c r="X78" s="409"/>
      <c r="Y78" s="409"/>
      <c r="Z78" s="409"/>
      <c r="AA78" s="409"/>
      <c r="AB78" s="409"/>
    </row>
    <row r="79" spans="2:31">
      <c r="B79" s="409" t="str">
        <f xml:space="preserve"> IF(AE15&lt;=2,AH28,AH24)</f>
        <v>En application de la loi du 12 mai 1980, nous nous réservons la propriété de toutes les marchandises, jusqu'au paiement intégral du prix par l'acheteur</v>
      </c>
      <c r="C79" s="409"/>
      <c r="D79" s="409"/>
      <c r="E79" s="409"/>
      <c r="F79" s="409"/>
      <c r="G79" s="409"/>
      <c r="H79" s="409"/>
      <c r="I79" s="409"/>
      <c r="J79" s="409"/>
      <c r="K79" s="409"/>
      <c r="L79" s="409"/>
      <c r="M79" s="409"/>
      <c r="N79" s="409"/>
      <c r="O79" s="409"/>
      <c r="P79" s="409"/>
      <c r="Q79" s="409"/>
      <c r="R79" s="409"/>
      <c r="S79" s="409"/>
      <c r="T79" s="409"/>
      <c r="U79" s="409"/>
      <c r="V79" s="409"/>
      <c r="W79" s="409"/>
      <c r="X79" s="409"/>
      <c r="Y79" s="409"/>
      <c r="Z79" s="409"/>
      <c r="AA79" s="409"/>
      <c r="AB79" s="409"/>
    </row>
    <row r="80" spans="2:31">
      <c r="B80" s="409" t="str">
        <f>IF(AE15&lt;=2,"",AH25)</f>
        <v/>
      </c>
      <c r="C80" s="409"/>
      <c r="D80" s="409"/>
      <c r="E80" s="409"/>
      <c r="F80" s="409"/>
      <c r="G80" s="409"/>
      <c r="H80" s="409"/>
      <c r="I80" s="409"/>
      <c r="J80" s="409"/>
      <c r="K80" s="409"/>
      <c r="L80" s="409"/>
      <c r="M80" s="409"/>
      <c r="N80" s="409"/>
      <c r="O80" s="409"/>
      <c r="P80" s="409"/>
      <c r="Q80" s="409"/>
      <c r="R80" s="409"/>
      <c r="S80" s="409"/>
      <c r="T80" s="409"/>
      <c r="U80" s="409"/>
      <c r="V80" s="409"/>
      <c r="W80" s="409"/>
      <c r="X80" s="409"/>
      <c r="Y80" s="409"/>
      <c r="Z80" s="409"/>
      <c r="AA80" s="409"/>
      <c r="AB80" s="409"/>
    </row>
    <row r="81" spans="2:28">
      <c r="B81" s="409"/>
      <c r="C81" s="409"/>
      <c r="D81" s="409"/>
      <c r="E81" s="409"/>
      <c r="F81" s="409"/>
      <c r="G81" s="409"/>
      <c r="H81" s="409"/>
      <c r="I81" s="409"/>
      <c r="J81" s="409"/>
      <c r="K81" s="409"/>
      <c r="L81" s="409"/>
      <c r="M81" s="409"/>
      <c r="N81" s="409"/>
      <c r="O81" s="409"/>
      <c r="P81" s="409"/>
      <c r="Q81" s="409"/>
      <c r="R81" s="409"/>
      <c r="S81" s="409"/>
      <c r="T81" s="409"/>
      <c r="U81" s="409"/>
      <c r="V81" s="409"/>
      <c r="W81" s="409"/>
      <c r="X81" s="409"/>
      <c r="Y81" s="409"/>
      <c r="Z81" s="409"/>
      <c r="AA81" s="409"/>
      <c r="AB81" s="409"/>
    </row>
    <row r="82" spans="2:28">
      <c r="B82" s="11"/>
      <c r="C82" s="102"/>
      <c r="D82" s="11"/>
      <c r="E82" s="11"/>
      <c r="F82" s="11"/>
      <c r="G82" s="11"/>
      <c r="H82" s="11"/>
    </row>
    <row r="83" spans="2:28">
      <c r="B83" s="11"/>
      <c r="C83" s="102"/>
      <c r="D83" s="11"/>
      <c r="E83" s="11"/>
      <c r="F83" s="102"/>
      <c r="G83" s="11"/>
      <c r="H83" s="11"/>
    </row>
  </sheetData>
  <sheetProtection algorithmName="SHA-512" hashValue="ts13Abp4fs8Sx3Ecws8GRI0Gsivlop7SJPWVkhsgALwVmmzH2XtHw/WMCy0tYGzaqjfougc4WQFGDsrJ3COFAw==" saltValue="/BhdpR4DXeQO2XGf9GqZHg==" spinCount="100000" sheet="1" objects="1" scenarios="1"/>
  <mergeCells count="200">
    <mergeCell ref="B80:AB80"/>
    <mergeCell ref="B81:AB81"/>
    <mergeCell ref="F67:P67"/>
    <mergeCell ref="Q67:X67"/>
    <mergeCell ref="Y67:Z67"/>
    <mergeCell ref="Q69:W69"/>
    <mergeCell ref="B78:AB78"/>
    <mergeCell ref="B79:AB79"/>
    <mergeCell ref="AE63:AE65"/>
    <mergeCell ref="C64:G65"/>
    <mergeCell ref="H64:L65"/>
    <mergeCell ref="M64:Q65"/>
    <mergeCell ref="R64:S65"/>
    <mergeCell ref="U64:AA65"/>
    <mergeCell ref="D62:S62"/>
    <mergeCell ref="C63:G63"/>
    <mergeCell ref="H63:L63"/>
    <mergeCell ref="M63:Q63"/>
    <mergeCell ref="R63:S63"/>
    <mergeCell ref="U63:AA63"/>
    <mergeCell ref="D60:S60"/>
    <mergeCell ref="V60:W60"/>
    <mergeCell ref="X60:Y60"/>
    <mergeCell ref="Z60:AA60"/>
    <mergeCell ref="D61:S61"/>
    <mergeCell ref="V61:W61"/>
    <mergeCell ref="X61:Y61"/>
    <mergeCell ref="Z61:AA61"/>
    <mergeCell ref="D58:S58"/>
    <mergeCell ref="V58:W58"/>
    <mergeCell ref="X58:Y58"/>
    <mergeCell ref="Z58:AA58"/>
    <mergeCell ref="D59:S59"/>
    <mergeCell ref="V59:W59"/>
    <mergeCell ref="X59:Y59"/>
    <mergeCell ref="Z59:AA59"/>
    <mergeCell ref="D56:S56"/>
    <mergeCell ref="V56:W56"/>
    <mergeCell ref="X56:Y56"/>
    <mergeCell ref="Z56:AA56"/>
    <mergeCell ref="D57:S57"/>
    <mergeCell ref="V57:W57"/>
    <mergeCell ref="X57:Y57"/>
    <mergeCell ref="Z57:AA57"/>
    <mergeCell ref="D54:S54"/>
    <mergeCell ref="V54:W54"/>
    <mergeCell ref="X54:Y54"/>
    <mergeCell ref="Z54:AA54"/>
    <mergeCell ref="D55:S55"/>
    <mergeCell ref="V55:W55"/>
    <mergeCell ref="X55:Y55"/>
    <mergeCell ref="Z55:AA55"/>
    <mergeCell ref="D52:S52"/>
    <mergeCell ref="V52:W52"/>
    <mergeCell ref="X52:Y52"/>
    <mergeCell ref="Z52:AA52"/>
    <mergeCell ref="D53:S53"/>
    <mergeCell ref="V53:W53"/>
    <mergeCell ref="X53:Y53"/>
    <mergeCell ref="Z53:AA53"/>
    <mergeCell ref="D50:S50"/>
    <mergeCell ref="V50:W50"/>
    <mergeCell ref="X50:Y50"/>
    <mergeCell ref="Z50:AA50"/>
    <mergeCell ref="D51:S51"/>
    <mergeCell ref="V51:W51"/>
    <mergeCell ref="X51:Y51"/>
    <mergeCell ref="Z51:AA51"/>
    <mergeCell ref="D48:S48"/>
    <mergeCell ref="V48:W48"/>
    <mergeCell ref="X48:Y48"/>
    <mergeCell ref="Z48:AA48"/>
    <mergeCell ref="D49:S49"/>
    <mergeCell ref="V49:W49"/>
    <mergeCell ref="X49:Y49"/>
    <mergeCell ref="Z49:AA49"/>
    <mergeCell ref="D46:S46"/>
    <mergeCell ref="V46:W46"/>
    <mergeCell ref="X46:Y46"/>
    <mergeCell ref="Z46:AA46"/>
    <mergeCell ref="D47:S47"/>
    <mergeCell ref="V47:W47"/>
    <mergeCell ref="X47:Y47"/>
    <mergeCell ref="Z47:AA47"/>
    <mergeCell ref="D44:S44"/>
    <mergeCell ref="V44:W44"/>
    <mergeCell ref="X44:Y44"/>
    <mergeCell ref="Z44:AA44"/>
    <mergeCell ref="D45:S45"/>
    <mergeCell ref="V45:W45"/>
    <mergeCell ref="X45:Y45"/>
    <mergeCell ref="Z45:AA45"/>
    <mergeCell ref="D42:S42"/>
    <mergeCell ref="V42:W42"/>
    <mergeCell ref="X42:Y42"/>
    <mergeCell ref="Z42:AA42"/>
    <mergeCell ref="D43:S43"/>
    <mergeCell ref="V43:W43"/>
    <mergeCell ref="X43:Y43"/>
    <mergeCell ref="Z43:AA43"/>
    <mergeCell ref="D40:S40"/>
    <mergeCell ref="V40:W40"/>
    <mergeCell ref="X40:Y40"/>
    <mergeCell ref="Z40:AA40"/>
    <mergeCell ref="D41:S41"/>
    <mergeCell ref="V41:W41"/>
    <mergeCell ref="X41:Y41"/>
    <mergeCell ref="Z41:AA41"/>
    <mergeCell ref="D38:S38"/>
    <mergeCell ref="V38:W38"/>
    <mergeCell ref="X38:Y38"/>
    <mergeCell ref="Z38:AA38"/>
    <mergeCell ref="D39:S39"/>
    <mergeCell ref="V39:W39"/>
    <mergeCell ref="X39:Y39"/>
    <mergeCell ref="Z39:AA39"/>
    <mergeCell ref="D36:S36"/>
    <mergeCell ref="V36:W36"/>
    <mergeCell ref="X36:Y36"/>
    <mergeCell ref="Z36:AA36"/>
    <mergeCell ref="D37:S37"/>
    <mergeCell ref="V37:W37"/>
    <mergeCell ref="X37:Y37"/>
    <mergeCell ref="Z37:AA37"/>
    <mergeCell ref="D34:S34"/>
    <mergeCell ref="V34:W34"/>
    <mergeCell ref="X34:Y34"/>
    <mergeCell ref="Z34:AA34"/>
    <mergeCell ref="D35:S35"/>
    <mergeCell ref="V35:W35"/>
    <mergeCell ref="X35:Y35"/>
    <mergeCell ref="Z35:AA35"/>
    <mergeCell ref="D32:S32"/>
    <mergeCell ref="V32:W32"/>
    <mergeCell ref="X32:Y32"/>
    <mergeCell ref="Z32:AA32"/>
    <mergeCell ref="D33:S33"/>
    <mergeCell ref="V33:W33"/>
    <mergeCell ref="X33:Y33"/>
    <mergeCell ref="Z33:AA33"/>
    <mergeCell ref="D30:S30"/>
    <mergeCell ref="V30:W30"/>
    <mergeCell ref="X30:Y30"/>
    <mergeCell ref="Z30:AA30"/>
    <mergeCell ref="D31:S31"/>
    <mergeCell ref="V31:W31"/>
    <mergeCell ref="X31:Y31"/>
    <mergeCell ref="Z31:AA31"/>
    <mergeCell ref="D29:S29"/>
    <mergeCell ref="V29:W29"/>
    <mergeCell ref="X29:Y29"/>
    <mergeCell ref="Z29:AA29"/>
    <mergeCell ref="AD29:AE29"/>
    <mergeCell ref="AH29:AJ29"/>
    <mergeCell ref="AH27:AK27"/>
    <mergeCell ref="D28:S28"/>
    <mergeCell ref="V28:W28"/>
    <mergeCell ref="X28:Y28"/>
    <mergeCell ref="Z28:AA28"/>
    <mergeCell ref="AH28:AN28"/>
    <mergeCell ref="D26:S26"/>
    <mergeCell ref="V26:W26"/>
    <mergeCell ref="X26:Y26"/>
    <mergeCell ref="Z26:AA26"/>
    <mergeCell ref="D27:S27"/>
    <mergeCell ref="V27:W27"/>
    <mergeCell ref="X27:Y27"/>
    <mergeCell ref="Z27:AA27"/>
    <mergeCell ref="D24:S24"/>
    <mergeCell ref="V24:W24"/>
    <mergeCell ref="X24:Y24"/>
    <mergeCell ref="Z24:AA24"/>
    <mergeCell ref="AH24:AS24"/>
    <mergeCell ref="D25:S25"/>
    <mergeCell ref="V25:W25"/>
    <mergeCell ref="X25:Y25"/>
    <mergeCell ref="Z25:AA25"/>
    <mergeCell ref="AH25:AJ25"/>
    <mergeCell ref="Z21:AA22"/>
    <mergeCell ref="D23:S23"/>
    <mergeCell ref="V23:W23"/>
    <mergeCell ref="X23:Y23"/>
    <mergeCell ref="Z23:AA23"/>
    <mergeCell ref="AH23:AJ23"/>
    <mergeCell ref="C21:C22"/>
    <mergeCell ref="D21:S22"/>
    <mergeCell ref="T21:T22"/>
    <mergeCell ref="U21:U22"/>
    <mergeCell ref="V21:W22"/>
    <mergeCell ref="X21:Y22"/>
    <mergeCell ref="AF16:AG16"/>
    <mergeCell ref="AF17:AG17"/>
    <mergeCell ref="L18:Q18"/>
    <mergeCell ref="R18:S18"/>
    <mergeCell ref="F19:H19"/>
    <mergeCell ref="B3:AB4"/>
    <mergeCell ref="AF14:AG14"/>
    <mergeCell ref="AF15:AG15"/>
    <mergeCell ref="AE12:AG12"/>
    <mergeCell ref="AE13:AG13"/>
  </mergeCells>
  <conditionalFormatting sqref="AE15">
    <cfRule type="expression" dxfId="322" priority="49" stopIfTrue="1">
      <formula>"si+$AE$11="""";$S$70"</formula>
    </cfRule>
  </conditionalFormatting>
  <conditionalFormatting sqref="U64">
    <cfRule type="expression" dxfId="321" priority="40" stopIfTrue="1">
      <formula>AND($AE$63="")</formula>
    </cfRule>
  </conditionalFormatting>
  <conditionalFormatting sqref="M64 R64 H64">
    <cfRule type="expression" dxfId="320" priority="2" stopIfTrue="1">
      <formula>AND($AE$63="")</formula>
    </cfRule>
  </conditionalFormatting>
  <conditionalFormatting sqref="C25:C61">
    <cfRule type="expression" dxfId="319" priority="1">
      <formula>AND($U25="")</formula>
    </cfRule>
  </conditionalFormatting>
  <conditionalFormatting sqref="U74:AA76 Q69:W72">
    <cfRule type="expression" dxfId="318" priority="2302" stopIfTrue="1">
      <formula>$AE$15=""</formula>
    </cfRule>
  </conditionalFormatting>
  <conditionalFormatting sqref="Q69:W72">
    <cfRule type="expression" dxfId="317" priority="2304" stopIfTrue="1">
      <formula>$AE$15&lt;=2</formula>
    </cfRule>
    <cfRule type="expression" dxfId="316" priority="2305" stopIfTrue="1">
      <formula>$AE$15&lt;=2</formula>
    </cfRule>
    <cfRule type="expression" dxfId="315" priority="2306" stopIfTrue="1">
      <formula>si+$AE$15&lt;=2</formula>
    </cfRule>
    <cfRule type="expression" dxfId="314" priority="2307" stopIfTrue="1">
      <formula>"si+$AE$11&lt;=2;"""""</formula>
    </cfRule>
    <cfRule type="expression" dxfId="313" priority="2308" stopIfTrue="1">
      <formula>si+$AE$15&lt;=2</formula>
    </cfRule>
  </conditionalFormatting>
  <conditionalFormatting sqref="Q67:Z67">
    <cfRule type="expression" dxfId="312" priority="2309" stopIfTrue="1">
      <formula>AND($AF15="oui")</formula>
    </cfRule>
  </conditionalFormatting>
  <pageMargins left="0" right="0" top="0.35433070866141736" bottom="0" header="0.31496062992125984" footer="0.31496062992125984"/>
  <pageSetup paperSize="9" scale="51" orientation="portrait" horizontalDpi="300" verticalDpi="300" r:id="rId1"/>
  <headerFooter alignWithMargins="0">
    <oddFooter>&amp;L
 SICAUD MENUISERIE &amp;C
Socièté à responsabilité limitée au capital de 7 500 € &amp;R
 481 863 553  RCS Saintes. N° TVA CEE: FR 59 481 863 553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Clients!$R$4:$R$6</xm:f>
          </x14:formula1>
          <xm:sqref>AF17:AG17</xm:sqref>
        </x14:dataValidation>
        <x14:dataValidation type="list" allowBlank="1" showInputMessage="1" showErrorMessage="1">
          <x14:formula1>
            <xm:f>PAGE1!$AE$5:$AE$9</xm:f>
          </x14:formula1>
          <xm:sqref>V23:W61</xm:sqref>
        </x14:dataValidation>
        <x14:dataValidation type="list" allowBlank="1" showInputMessage="1" showErrorMessage="1">
          <x14:formula1>
            <xm:f>PAGE1!$AF$6:$AF$7</xm:f>
          </x14:formula1>
          <xm:sqref>AF15:AG15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R702"/>
  <sheetViews>
    <sheetView topLeftCell="A224" workbookViewId="0">
      <selection activeCell="D263" sqref="D263"/>
    </sheetView>
  </sheetViews>
  <sheetFormatPr baseColWidth="10" defaultRowHeight="12.75"/>
  <cols>
    <col min="1" max="1" width="1.85546875" style="39" customWidth="1"/>
    <col min="2" max="2" width="7.42578125" style="39" bestFit="1" customWidth="1"/>
    <col min="3" max="3" width="11.140625" style="39" customWidth="1"/>
    <col min="4" max="4" width="28" style="39" customWidth="1"/>
    <col min="5" max="5" width="16.5703125" style="39" customWidth="1"/>
    <col min="6" max="6" width="40.28515625" style="39" customWidth="1"/>
    <col min="7" max="8" width="4.140625" style="9" customWidth="1"/>
    <col min="9" max="9" width="7.28515625" style="39" customWidth="1"/>
    <col min="10" max="10" width="26.85546875" style="39" customWidth="1"/>
    <col min="11" max="11" width="15.85546875" style="198" customWidth="1"/>
    <col min="12" max="12" width="14.5703125" style="199" customWidth="1"/>
    <col min="13" max="13" width="17.42578125" style="39" customWidth="1"/>
    <col min="14" max="14" width="20.42578125" style="39" customWidth="1"/>
    <col min="15" max="15" width="2.5703125" style="39" customWidth="1"/>
    <col min="16" max="16" width="12.28515625" style="39" bestFit="1" customWidth="1"/>
    <col min="17" max="16384" width="11.42578125" style="39"/>
  </cols>
  <sheetData>
    <row r="2" spans="1:18" ht="19.5" customHeight="1">
      <c r="A2" s="208"/>
      <c r="B2" s="345" t="s">
        <v>19</v>
      </c>
      <c r="C2" s="345" t="s">
        <v>6</v>
      </c>
      <c r="D2" s="345" t="s">
        <v>7</v>
      </c>
      <c r="E2" s="345" t="s">
        <v>8</v>
      </c>
      <c r="F2" s="345" t="s">
        <v>9</v>
      </c>
      <c r="G2" s="345"/>
      <c r="H2" s="345"/>
      <c r="I2" s="345" t="s">
        <v>10</v>
      </c>
      <c r="J2" s="345" t="s">
        <v>11</v>
      </c>
      <c r="K2" s="346" t="s">
        <v>12</v>
      </c>
      <c r="L2" s="347" t="s">
        <v>13</v>
      </c>
      <c r="M2" s="345" t="s">
        <v>14</v>
      </c>
      <c r="N2" s="345" t="s">
        <v>15</v>
      </c>
      <c r="P2" s="39" t="s">
        <v>1640</v>
      </c>
    </row>
    <row r="3" spans="1:18">
      <c r="A3" s="208"/>
      <c r="B3" s="348">
        <v>1</v>
      </c>
      <c r="C3" s="349" t="s">
        <v>137</v>
      </c>
      <c r="D3" s="349" t="s">
        <v>17</v>
      </c>
      <c r="E3" s="349"/>
      <c r="F3" s="349" t="s">
        <v>389</v>
      </c>
      <c r="G3" s="203"/>
      <c r="H3" s="203">
        <f>B3</f>
        <v>1</v>
      </c>
      <c r="I3" s="350">
        <v>17100</v>
      </c>
      <c r="J3" s="237" t="s">
        <v>356</v>
      </c>
      <c r="K3" s="351" t="s">
        <v>1701</v>
      </c>
      <c r="L3" s="351">
        <v>673020526</v>
      </c>
      <c r="M3" s="352">
        <v>546920308</v>
      </c>
      <c r="N3" s="353" t="s">
        <v>18</v>
      </c>
      <c r="P3" s="44">
        <v>42005</v>
      </c>
      <c r="Q3" s="40"/>
    </row>
    <row r="4" spans="1:18">
      <c r="A4" s="208"/>
      <c r="B4" s="354">
        <v>2</v>
      </c>
      <c r="C4" s="203" t="s">
        <v>20</v>
      </c>
      <c r="D4" s="203" t="s">
        <v>21</v>
      </c>
      <c r="E4" s="203" t="s">
        <v>22</v>
      </c>
      <c r="F4" s="203" t="s">
        <v>23</v>
      </c>
      <c r="G4" s="203"/>
      <c r="H4" s="203">
        <f t="shared" ref="H4:H67" si="0">B4</f>
        <v>2</v>
      </c>
      <c r="I4" s="203">
        <v>17100</v>
      </c>
      <c r="J4" s="237" t="s">
        <v>32</v>
      </c>
      <c r="K4" s="351" t="s">
        <v>1702</v>
      </c>
      <c r="L4" s="351"/>
      <c r="M4" s="355"/>
      <c r="N4" s="356"/>
      <c r="P4" s="45">
        <v>42036</v>
      </c>
      <c r="Q4" s="42"/>
      <c r="R4" s="35">
        <v>10</v>
      </c>
    </row>
    <row r="5" spans="1:18">
      <c r="A5" s="208"/>
      <c r="B5" s="354">
        <v>3</v>
      </c>
      <c r="C5" s="237" t="s">
        <v>47</v>
      </c>
      <c r="D5" s="237" t="s">
        <v>24</v>
      </c>
      <c r="E5" s="237" t="s">
        <v>25</v>
      </c>
      <c r="F5" s="237" t="s">
        <v>26</v>
      </c>
      <c r="G5" s="203"/>
      <c r="H5" s="203">
        <f t="shared" si="0"/>
        <v>3</v>
      </c>
      <c r="I5" s="203">
        <v>17100</v>
      </c>
      <c r="J5" s="237" t="s">
        <v>33</v>
      </c>
      <c r="K5" s="351" t="s">
        <v>1703</v>
      </c>
      <c r="L5" s="351"/>
      <c r="M5" s="355"/>
      <c r="N5" s="356"/>
      <c r="P5" s="44">
        <v>42064</v>
      </c>
      <c r="Q5" s="43"/>
      <c r="R5" s="35">
        <v>20</v>
      </c>
    </row>
    <row r="6" spans="1:18">
      <c r="A6" s="208"/>
      <c r="B6" s="354">
        <v>4</v>
      </c>
      <c r="C6" s="237" t="s">
        <v>16</v>
      </c>
      <c r="D6" s="237" t="s">
        <v>29</v>
      </c>
      <c r="E6" s="237" t="s">
        <v>30</v>
      </c>
      <c r="F6" s="237" t="s">
        <v>31</v>
      </c>
      <c r="G6" s="203"/>
      <c r="H6" s="203">
        <f t="shared" si="0"/>
        <v>4</v>
      </c>
      <c r="I6" s="237">
        <v>17100</v>
      </c>
      <c r="J6" s="237" t="s">
        <v>32</v>
      </c>
      <c r="K6" s="351" t="s">
        <v>1704</v>
      </c>
      <c r="L6" s="351"/>
      <c r="M6" s="355"/>
      <c r="N6" s="356"/>
      <c r="P6" s="44">
        <v>42095</v>
      </c>
      <c r="Q6" s="42"/>
      <c r="R6" s="35">
        <v>5.5</v>
      </c>
    </row>
    <row r="7" spans="1:18">
      <c r="A7" s="208"/>
      <c r="B7" s="354">
        <v>5</v>
      </c>
      <c r="C7" s="203"/>
      <c r="D7" s="237" t="s">
        <v>34</v>
      </c>
      <c r="E7" s="203"/>
      <c r="F7" s="237" t="s">
        <v>35</v>
      </c>
      <c r="G7" s="203"/>
      <c r="H7" s="203">
        <f t="shared" si="0"/>
        <v>5</v>
      </c>
      <c r="I7" s="237">
        <v>17100</v>
      </c>
      <c r="J7" s="237" t="s">
        <v>33</v>
      </c>
      <c r="K7" s="351"/>
      <c r="L7" s="351"/>
      <c r="M7" s="355"/>
      <c r="N7" s="356"/>
      <c r="P7" s="44">
        <v>42125</v>
      </c>
    </row>
    <row r="8" spans="1:18">
      <c r="A8" s="208"/>
      <c r="B8" s="354">
        <v>6</v>
      </c>
      <c r="C8" s="203"/>
      <c r="D8" s="237" t="s">
        <v>36</v>
      </c>
      <c r="E8" s="203"/>
      <c r="F8" s="237" t="s">
        <v>37</v>
      </c>
      <c r="G8" s="203"/>
      <c r="H8" s="203">
        <f t="shared" si="0"/>
        <v>6</v>
      </c>
      <c r="I8" s="237">
        <v>44104</v>
      </c>
      <c r="J8" s="237" t="s">
        <v>38</v>
      </c>
      <c r="K8" s="351"/>
      <c r="L8" s="351"/>
      <c r="M8" s="355"/>
      <c r="N8" s="356"/>
      <c r="P8" s="44">
        <v>42156</v>
      </c>
    </row>
    <row r="9" spans="1:18">
      <c r="A9" s="208"/>
      <c r="B9" s="354">
        <v>7</v>
      </c>
      <c r="C9" s="203"/>
      <c r="D9" s="237" t="s">
        <v>39</v>
      </c>
      <c r="E9" s="203"/>
      <c r="F9" s="237" t="s">
        <v>40</v>
      </c>
      <c r="G9" s="203"/>
      <c r="H9" s="203">
        <f t="shared" si="0"/>
        <v>7</v>
      </c>
      <c r="I9" s="237">
        <v>27940</v>
      </c>
      <c r="J9" s="237" t="s">
        <v>41</v>
      </c>
      <c r="K9" s="351"/>
      <c r="L9" s="351"/>
      <c r="M9" s="355"/>
      <c r="N9" s="356"/>
      <c r="P9" s="44">
        <v>42186</v>
      </c>
    </row>
    <row r="10" spans="1:18">
      <c r="A10" s="208"/>
      <c r="B10" s="354">
        <v>8</v>
      </c>
      <c r="C10" s="203"/>
      <c r="D10" s="237" t="s">
        <v>42</v>
      </c>
      <c r="E10" s="203"/>
      <c r="F10" s="237" t="s">
        <v>43</v>
      </c>
      <c r="G10" s="203"/>
      <c r="H10" s="203">
        <f t="shared" si="0"/>
        <v>8</v>
      </c>
      <c r="I10" s="237">
        <v>33028</v>
      </c>
      <c r="J10" s="237" t="s">
        <v>44</v>
      </c>
      <c r="K10" s="351"/>
      <c r="L10" s="351"/>
      <c r="M10" s="355"/>
      <c r="N10" s="356"/>
      <c r="P10" s="45">
        <v>42217</v>
      </c>
    </row>
    <row r="11" spans="1:18">
      <c r="A11" s="208"/>
      <c r="B11" s="354">
        <v>9</v>
      </c>
      <c r="C11" s="203" t="s">
        <v>61</v>
      </c>
      <c r="D11" s="237" t="s">
        <v>45</v>
      </c>
      <c r="E11" s="203"/>
      <c r="F11" s="237" t="s">
        <v>46</v>
      </c>
      <c r="G11" s="203"/>
      <c r="H11" s="203">
        <f t="shared" si="0"/>
        <v>9</v>
      </c>
      <c r="I11" s="237">
        <v>17100</v>
      </c>
      <c r="J11" s="237" t="s">
        <v>33</v>
      </c>
      <c r="K11" s="351"/>
      <c r="L11" s="351"/>
      <c r="M11" s="355"/>
      <c r="N11" s="356"/>
      <c r="P11" s="44">
        <v>42248</v>
      </c>
    </row>
    <row r="12" spans="1:18">
      <c r="A12" s="208"/>
      <c r="B12" s="354">
        <v>10</v>
      </c>
      <c r="C12" s="203" t="s">
        <v>47</v>
      </c>
      <c r="D12" s="237" t="s">
        <v>48</v>
      </c>
      <c r="E12" s="203" t="s">
        <v>49</v>
      </c>
      <c r="F12" s="237" t="s">
        <v>50</v>
      </c>
      <c r="G12" s="203"/>
      <c r="H12" s="203">
        <f t="shared" si="0"/>
        <v>10</v>
      </c>
      <c r="I12" s="237">
        <v>17100</v>
      </c>
      <c r="J12" s="237" t="s">
        <v>33</v>
      </c>
      <c r="K12" s="351" t="s">
        <v>1705</v>
      </c>
      <c r="L12" s="351"/>
      <c r="M12" s="355"/>
      <c r="N12" s="356"/>
      <c r="P12" s="45">
        <v>42278</v>
      </c>
    </row>
    <row r="13" spans="1:18">
      <c r="A13" s="208"/>
      <c r="B13" s="354">
        <v>11</v>
      </c>
      <c r="C13" s="203" t="s">
        <v>16</v>
      </c>
      <c r="D13" s="237" t="s">
        <v>51</v>
      </c>
      <c r="E13" s="203"/>
      <c r="F13" s="237" t="s">
        <v>60</v>
      </c>
      <c r="G13" s="203"/>
      <c r="H13" s="203">
        <f t="shared" si="0"/>
        <v>11</v>
      </c>
      <c r="I13" s="237">
        <v>17610</v>
      </c>
      <c r="J13" s="237" t="s">
        <v>52</v>
      </c>
      <c r="K13" s="351"/>
      <c r="L13" s="351"/>
      <c r="M13" s="355"/>
      <c r="N13" s="356"/>
      <c r="P13" s="44">
        <v>42309</v>
      </c>
    </row>
    <row r="14" spans="1:18">
      <c r="A14" s="208"/>
      <c r="B14" s="354">
        <v>12</v>
      </c>
      <c r="C14" s="237" t="s">
        <v>16</v>
      </c>
      <c r="D14" s="237" t="s">
        <v>53</v>
      </c>
      <c r="E14" s="203"/>
      <c r="F14" s="237" t="s">
        <v>54</v>
      </c>
      <c r="G14" s="203"/>
      <c r="H14" s="203">
        <f t="shared" si="0"/>
        <v>12</v>
      </c>
      <c r="I14" s="237">
        <v>17810</v>
      </c>
      <c r="J14" s="237" t="s">
        <v>55</v>
      </c>
      <c r="K14" s="351"/>
      <c r="L14" s="351"/>
      <c r="M14" s="355"/>
      <c r="N14" s="356"/>
      <c r="P14" s="44">
        <v>42339</v>
      </c>
    </row>
    <row r="15" spans="1:18">
      <c r="A15" s="208"/>
      <c r="B15" s="354">
        <v>13</v>
      </c>
      <c r="C15" s="237" t="s">
        <v>20</v>
      </c>
      <c r="D15" s="237" t="s">
        <v>56</v>
      </c>
      <c r="E15" s="203" t="s">
        <v>57</v>
      </c>
      <c r="F15" s="237" t="s">
        <v>58</v>
      </c>
      <c r="G15" s="203"/>
      <c r="H15" s="203">
        <f t="shared" si="0"/>
        <v>13</v>
      </c>
      <c r="I15" s="237">
        <v>17610</v>
      </c>
      <c r="J15" s="237" t="s">
        <v>52</v>
      </c>
      <c r="K15" s="351" t="s">
        <v>1706</v>
      </c>
      <c r="L15" s="351"/>
      <c r="M15" s="355"/>
      <c r="N15" s="356"/>
      <c r="P15" s="44">
        <v>42370</v>
      </c>
    </row>
    <row r="16" spans="1:18">
      <c r="A16" s="208"/>
      <c r="B16" s="354">
        <v>14</v>
      </c>
      <c r="C16" s="237" t="s">
        <v>20</v>
      </c>
      <c r="D16" s="237" t="s">
        <v>59</v>
      </c>
      <c r="E16" s="203"/>
      <c r="F16" s="237" t="s">
        <v>352</v>
      </c>
      <c r="G16" s="203"/>
      <c r="H16" s="203">
        <f t="shared" si="0"/>
        <v>14</v>
      </c>
      <c r="I16" s="237">
        <v>17100</v>
      </c>
      <c r="J16" s="237" t="s">
        <v>33</v>
      </c>
      <c r="K16" s="351"/>
      <c r="L16" s="351"/>
      <c r="M16" s="355"/>
      <c r="N16" s="356"/>
      <c r="P16" s="44">
        <v>42401</v>
      </c>
    </row>
    <row r="17" spans="1:16">
      <c r="A17" s="208"/>
      <c r="B17" s="354">
        <v>15</v>
      </c>
      <c r="C17" s="237" t="s">
        <v>62</v>
      </c>
      <c r="D17" s="237" t="s">
        <v>63</v>
      </c>
      <c r="E17" s="203" t="s">
        <v>64</v>
      </c>
      <c r="F17" s="237" t="s">
        <v>351</v>
      </c>
      <c r="G17" s="203"/>
      <c r="H17" s="203">
        <f t="shared" si="0"/>
        <v>15</v>
      </c>
      <c r="I17" s="237">
        <v>17100</v>
      </c>
      <c r="J17" s="237" t="s">
        <v>33</v>
      </c>
      <c r="K17" s="351"/>
      <c r="L17" s="351"/>
      <c r="M17" s="355"/>
      <c r="N17" s="356"/>
      <c r="P17" s="44">
        <v>42430</v>
      </c>
    </row>
    <row r="18" spans="1:16">
      <c r="A18" s="208"/>
      <c r="B18" s="354">
        <v>16</v>
      </c>
      <c r="C18" s="237" t="s">
        <v>116</v>
      </c>
      <c r="D18" s="237" t="s">
        <v>66</v>
      </c>
      <c r="E18" s="203"/>
      <c r="F18" s="237" t="s">
        <v>67</v>
      </c>
      <c r="G18" s="203"/>
      <c r="H18" s="203">
        <f t="shared" si="0"/>
        <v>16</v>
      </c>
      <c r="I18" s="237">
        <v>17100</v>
      </c>
      <c r="J18" s="237" t="s">
        <v>33</v>
      </c>
      <c r="K18" s="351"/>
      <c r="L18" s="351"/>
      <c r="M18" s="355"/>
      <c r="N18" s="356"/>
      <c r="P18" s="45">
        <v>42461</v>
      </c>
    </row>
    <row r="19" spans="1:16">
      <c r="A19" s="208"/>
      <c r="B19" s="354">
        <v>17</v>
      </c>
      <c r="C19" s="237" t="s">
        <v>68</v>
      </c>
      <c r="D19" s="237" t="s">
        <v>69</v>
      </c>
      <c r="E19" s="203" t="s">
        <v>70</v>
      </c>
      <c r="F19" s="237" t="s">
        <v>71</v>
      </c>
      <c r="G19" s="203"/>
      <c r="H19" s="203">
        <f t="shared" si="0"/>
        <v>17</v>
      </c>
      <c r="I19" s="237">
        <v>17100</v>
      </c>
      <c r="J19" s="237" t="s">
        <v>33</v>
      </c>
      <c r="K19" s="351"/>
      <c r="L19" s="351"/>
      <c r="M19" s="355"/>
      <c r="N19" s="356"/>
      <c r="P19" s="44">
        <v>42491</v>
      </c>
    </row>
    <row r="20" spans="1:16">
      <c r="A20" s="208"/>
      <c r="B20" s="354">
        <v>18</v>
      </c>
      <c r="C20" s="208"/>
      <c r="D20" s="237" t="s">
        <v>72</v>
      </c>
      <c r="E20" s="237" t="s">
        <v>73</v>
      </c>
      <c r="F20" s="237" t="s">
        <v>74</v>
      </c>
      <c r="G20" s="203"/>
      <c r="H20" s="203">
        <f t="shared" si="0"/>
        <v>18</v>
      </c>
      <c r="I20" s="237">
        <v>17100</v>
      </c>
      <c r="J20" s="237" t="s">
        <v>33</v>
      </c>
      <c r="K20" s="351" t="s">
        <v>1707</v>
      </c>
      <c r="L20" s="351"/>
      <c r="M20" s="355"/>
      <c r="N20" s="356"/>
      <c r="P20" s="45">
        <v>42522</v>
      </c>
    </row>
    <row r="21" spans="1:16">
      <c r="A21" s="208"/>
      <c r="B21" s="354">
        <v>19</v>
      </c>
      <c r="C21" s="203" t="s">
        <v>68</v>
      </c>
      <c r="D21" s="237" t="s">
        <v>75</v>
      </c>
      <c r="E21" s="237" t="s">
        <v>76</v>
      </c>
      <c r="F21" s="237" t="s">
        <v>77</v>
      </c>
      <c r="G21" s="203"/>
      <c r="H21" s="203">
        <f t="shared" si="0"/>
        <v>19</v>
      </c>
      <c r="I21" s="237">
        <v>17610</v>
      </c>
      <c r="J21" s="237" t="s">
        <v>52</v>
      </c>
      <c r="K21" s="351"/>
      <c r="L21" s="351"/>
      <c r="M21" s="355"/>
      <c r="N21" s="356"/>
      <c r="P21" s="44">
        <v>42552</v>
      </c>
    </row>
    <row r="22" spans="1:16">
      <c r="A22" s="208"/>
      <c r="B22" s="354">
        <v>20</v>
      </c>
      <c r="C22" s="237"/>
      <c r="D22" s="237" t="s">
        <v>1257</v>
      </c>
      <c r="E22" s="237" t="s">
        <v>1256</v>
      </c>
      <c r="F22" s="237" t="s">
        <v>350</v>
      </c>
      <c r="G22" s="203"/>
      <c r="H22" s="203">
        <f t="shared" si="0"/>
        <v>20</v>
      </c>
      <c r="I22" s="237">
        <v>17100</v>
      </c>
      <c r="J22" s="237" t="s">
        <v>33</v>
      </c>
      <c r="K22" s="351"/>
      <c r="L22" s="351"/>
      <c r="M22" s="355"/>
      <c r="N22" s="356"/>
      <c r="P22" s="44">
        <v>42583</v>
      </c>
    </row>
    <row r="23" spans="1:16">
      <c r="A23" s="208"/>
      <c r="B23" s="354">
        <v>21</v>
      </c>
      <c r="C23" s="237" t="s">
        <v>68</v>
      </c>
      <c r="D23" s="237" t="s">
        <v>78</v>
      </c>
      <c r="E23" s="237" t="s">
        <v>597</v>
      </c>
      <c r="F23" s="237" t="s">
        <v>79</v>
      </c>
      <c r="G23" s="203"/>
      <c r="H23" s="203">
        <f t="shared" si="0"/>
        <v>21</v>
      </c>
      <c r="I23" s="237">
        <v>17100</v>
      </c>
      <c r="J23" s="237" t="s">
        <v>80</v>
      </c>
      <c r="K23" s="351" t="s">
        <v>1708</v>
      </c>
      <c r="L23" s="351"/>
      <c r="M23" s="355"/>
      <c r="N23" s="356"/>
      <c r="P23" s="44">
        <v>42614</v>
      </c>
    </row>
    <row r="24" spans="1:16">
      <c r="A24" s="208"/>
      <c r="B24" s="354">
        <v>22</v>
      </c>
      <c r="C24" s="237" t="s">
        <v>62</v>
      </c>
      <c r="D24" s="237" t="s">
        <v>81</v>
      </c>
      <c r="E24" s="237" t="s">
        <v>82</v>
      </c>
      <c r="F24" s="237" t="s">
        <v>83</v>
      </c>
      <c r="G24" s="203"/>
      <c r="H24" s="203">
        <f t="shared" si="0"/>
        <v>22</v>
      </c>
      <c r="I24" s="237">
        <v>17100</v>
      </c>
      <c r="J24" s="237" t="s">
        <v>33</v>
      </c>
      <c r="K24" s="351" t="s">
        <v>1709</v>
      </c>
      <c r="L24" s="351"/>
      <c r="M24" s="355">
        <v>546480171</v>
      </c>
      <c r="N24" s="356"/>
      <c r="P24" s="44">
        <v>42644</v>
      </c>
    </row>
    <row r="25" spans="1:16">
      <c r="A25" s="208"/>
      <c r="B25" s="354">
        <v>23</v>
      </c>
      <c r="C25" s="237" t="s">
        <v>65</v>
      </c>
      <c r="D25" s="237" t="s">
        <v>87</v>
      </c>
      <c r="E25" s="237" t="s">
        <v>88</v>
      </c>
      <c r="F25" s="237" t="s">
        <v>89</v>
      </c>
      <c r="G25" s="203"/>
      <c r="H25" s="203">
        <f t="shared" si="0"/>
        <v>23</v>
      </c>
      <c r="I25" s="237">
        <v>78700</v>
      </c>
      <c r="J25" s="237" t="s">
        <v>90</v>
      </c>
      <c r="K25" s="351"/>
      <c r="L25" s="351"/>
      <c r="M25" s="203"/>
      <c r="N25" s="356"/>
      <c r="P25" s="44">
        <v>42675</v>
      </c>
    </row>
    <row r="26" spans="1:16">
      <c r="A26" s="208"/>
      <c r="B26" s="354">
        <v>24</v>
      </c>
      <c r="C26" s="237" t="s">
        <v>68</v>
      </c>
      <c r="D26" s="237" t="s">
        <v>91</v>
      </c>
      <c r="E26" s="237" t="s">
        <v>92</v>
      </c>
      <c r="F26" s="237" t="s">
        <v>1077</v>
      </c>
      <c r="G26" s="203"/>
      <c r="H26" s="203">
        <f t="shared" si="0"/>
        <v>24</v>
      </c>
      <c r="I26" s="237">
        <v>17100</v>
      </c>
      <c r="J26" s="237" t="s">
        <v>104</v>
      </c>
      <c r="K26" s="351"/>
      <c r="L26" s="351"/>
      <c r="M26" s="203"/>
      <c r="N26" s="356"/>
      <c r="P26" s="45">
        <v>42705</v>
      </c>
    </row>
    <row r="27" spans="1:16">
      <c r="A27" s="208"/>
      <c r="B27" s="354">
        <v>25</v>
      </c>
      <c r="C27" s="237" t="s">
        <v>93</v>
      </c>
      <c r="D27" s="237" t="s">
        <v>94</v>
      </c>
      <c r="E27" s="203"/>
      <c r="F27" s="237" t="s">
        <v>26</v>
      </c>
      <c r="G27" s="203"/>
      <c r="H27" s="203">
        <f t="shared" si="0"/>
        <v>25</v>
      </c>
      <c r="I27" s="237">
        <v>17350</v>
      </c>
      <c r="J27" s="237" t="s">
        <v>95</v>
      </c>
      <c r="K27" s="351"/>
      <c r="L27" s="351"/>
      <c r="M27" s="203"/>
      <c r="N27" s="356"/>
      <c r="P27" s="44"/>
    </row>
    <row r="28" spans="1:16">
      <c r="A28" s="208"/>
      <c r="B28" s="354">
        <v>26</v>
      </c>
      <c r="C28" s="237" t="s">
        <v>96</v>
      </c>
      <c r="D28" s="203"/>
      <c r="E28" s="203"/>
      <c r="F28" s="203" t="s">
        <v>97</v>
      </c>
      <c r="G28" s="203"/>
      <c r="H28" s="203">
        <f t="shared" si="0"/>
        <v>26</v>
      </c>
      <c r="I28" s="237">
        <v>17443</v>
      </c>
      <c r="J28" s="237" t="s">
        <v>98</v>
      </c>
      <c r="K28" s="351">
        <v>546971688</v>
      </c>
      <c r="L28" s="351"/>
      <c r="M28" s="203"/>
      <c r="N28" s="203"/>
      <c r="P28" s="44"/>
    </row>
    <row r="29" spans="1:16">
      <c r="A29" s="208"/>
      <c r="B29" s="354">
        <v>27</v>
      </c>
      <c r="C29" s="237" t="s">
        <v>68</v>
      </c>
      <c r="D29" s="237" t="s">
        <v>99</v>
      </c>
      <c r="E29" s="208"/>
      <c r="F29" s="237" t="s">
        <v>100</v>
      </c>
      <c r="G29" s="203"/>
      <c r="H29" s="203">
        <f t="shared" si="0"/>
        <v>27</v>
      </c>
      <c r="I29" s="237">
        <v>33000</v>
      </c>
      <c r="J29" s="237" t="s">
        <v>101</v>
      </c>
      <c r="K29" s="351"/>
      <c r="L29" s="351"/>
      <c r="M29" s="208"/>
      <c r="N29" s="208"/>
    </row>
    <row r="30" spans="1:16">
      <c r="A30" s="208"/>
      <c r="B30" s="354">
        <v>28</v>
      </c>
      <c r="C30" s="237" t="s">
        <v>93</v>
      </c>
      <c r="D30" s="237" t="s">
        <v>102</v>
      </c>
      <c r="E30" s="208"/>
      <c r="F30" s="237" t="s">
        <v>103</v>
      </c>
      <c r="G30" s="203"/>
      <c r="H30" s="203">
        <f t="shared" si="0"/>
        <v>28</v>
      </c>
      <c r="I30" s="237">
        <v>17100</v>
      </c>
      <c r="J30" s="237" t="s">
        <v>104</v>
      </c>
      <c r="K30" s="351">
        <v>546903533</v>
      </c>
      <c r="L30" s="351"/>
      <c r="M30" s="208"/>
      <c r="N30" s="208"/>
    </row>
    <row r="31" spans="1:16">
      <c r="A31" s="208"/>
      <c r="B31" s="354">
        <v>29</v>
      </c>
      <c r="C31" s="237" t="s">
        <v>68</v>
      </c>
      <c r="D31" s="237" t="s">
        <v>105</v>
      </c>
      <c r="E31" s="208" t="s">
        <v>106</v>
      </c>
      <c r="F31" s="237" t="s">
        <v>107</v>
      </c>
      <c r="G31" s="203"/>
      <c r="H31" s="203">
        <f t="shared" si="0"/>
        <v>29</v>
      </c>
      <c r="I31" s="237">
        <v>17510</v>
      </c>
      <c r="J31" s="237" t="s">
        <v>52</v>
      </c>
      <c r="K31" s="351"/>
      <c r="L31" s="351"/>
      <c r="M31" s="208"/>
      <c r="N31" s="208"/>
    </row>
    <row r="32" spans="1:16">
      <c r="A32" s="208"/>
      <c r="B32" s="354">
        <v>30</v>
      </c>
      <c r="C32" s="237" t="s">
        <v>65</v>
      </c>
      <c r="D32" s="237" t="s">
        <v>109</v>
      </c>
      <c r="E32" s="208" t="s">
        <v>113</v>
      </c>
      <c r="F32" s="237" t="s">
        <v>110</v>
      </c>
      <c r="G32" s="203"/>
      <c r="H32" s="203">
        <f t="shared" si="0"/>
        <v>30</v>
      </c>
      <c r="I32" s="237">
        <v>17100</v>
      </c>
      <c r="J32" s="237" t="s">
        <v>111</v>
      </c>
      <c r="K32" s="351">
        <v>546928742</v>
      </c>
      <c r="L32" s="351"/>
      <c r="M32" s="208"/>
      <c r="N32" s="208"/>
    </row>
    <row r="33" spans="1:14">
      <c r="A33" s="208"/>
      <c r="B33" s="354">
        <v>31</v>
      </c>
      <c r="C33" s="237" t="s">
        <v>65</v>
      </c>
      <c r="D33" s="237" t="s">
        <v>112</v>
      </c>
      <c r="E33" s="208" t="s">
        <v>57</v>
      </c>
      <c r="F33" s="208"/>
      <c r="G33" s="203"/>
      <c r="H33" s="203">
        <f t="shared" si="0"/>
        <v>31</v>
      </c>
      <c r="I33" s="208">
        <v>17100</v>
      </c>
      <c r="J33" s="237" t="s">
        <v>357</v>
      </c>
      <c r="K33" s="351"/>
      <c r="L33" s="351"/>
      <c r="M33" s="208"/>
      <c r="N33" s="208"/>
    </row>
    <row r="34" spans="1:14">
      <c r="A34" s="208"/>
      <c r="B34" s="354">
        <v>32</v>
      </c>
      <c r="C34" s="237" t="s">
        <v>114</v>
      </c>
      <c r="D34" s="237" t="s">
        <v>115</v>
      </c>
      <c r="E34" s="208"/>
      <c r="F34" s="208"/>
      <c r="G34" s="203"/>
      <c r="H34" s="203">
        <f t="shared" si="0"/>
        <v>32</v>
      </c>
      <c r="I34" s="208"/>
      <c r="J34" s="208"/>
      <c r="K34" s="351"/>
      <c r="L34" s="351"/>
      <c r="M34" s="208"/>
      <c r="N34" s="208"/>
    </row>
    <row r="35" spans="1:14">
      <c r="A35" s="208"/>
      <c r="B35" s="354">
        <v>33</v>
      </c>
      <c r="C35" s="237" t="s">
        <v>62</v>
      </c>
      <c r="D35" s="237" t="s">
        <v>117</v>
      </c>
      <c r="E35" s="208" t="s">
        <v>118</v>
      </c>
      <c r="F35" s="208" t="s">
        <v>119</v>
      </c>
      <c r="G35" s="203"/>
      <c r="H35" s="203">
        <f t="shared" si="0"/>
        <v>33</v>
      </c>
      <c r="I35" s="208">
        <v>95210</v>
      </c>
      <c r="J35" s="208" t="s">
        <v>120</v>
      </c>
      <c r="K35" s="351"/>
      <c r="L35" s="351"/>
      <c r="M35" s="208"/>
      <c r="N35" s="208"/>
    </row>
    <row r="36" spans="1:14">
      <c r="A36" s="208"/>
      <c r="B36" s="354">
        <v>34</v>
      </c>
      <c r="C36" s="237" t="s">
        <v>68</v>
      </c>
      <c r="D36" s="237" t="s">
        <v>121</v>
      </c>
      <c r="E36" s="208" t="s">
        <v>122</v>
      </c>
      <c r="F36" s="208" t="s">
        <v>123</v>
      </c>
      <c r="G36" s="203"/>
      <c r="H36" s="203">
        <f t="shared" si="0"/>
        <v>34</v>
      </c>
      <c r="I36" s="208">
        <v>17100</v>
      </c>
      <c r="J36" s="208" t="s">
        <v>33</v>
      </c>
      <c r="K36" s="351"/>
      <c r="L36" s="351"/>
      <c r="M36" s="208"/>
      <c r="N36" s="208"/>
    </row>
    <row r="37" spans="1:14">
      <c r="A37" s="208"/>
      <c r="B37" s="354">
        <v>35</v>
      </c>
      <c r="C37" s="237" t="s">
        <v>68</v>
      </c>
      <c r="D37" s="237" t="s">
        <v>124</v>
      </c>
      <c r="E37" s="208" t="s">
        <v>125</v>
      </c>
      <c r="F37" s="208" t="s">
        <v>126</v>
      </c>
      <c r="G37" s="203"/>
      <c r="H37" s="203">
        <f t="shared" si="0"/>
        <v>35</v>
      </c>
      <c r="I37" s="208">
        <v>17100</v>
      </c>
      <c r="J37" s="208" t="s">
        <v>127</v>
      </c>
      <c r="K37" s="351"/>
      <c r="L37" s="351"/>
      <c r="M37" s="208"/>
      <c r="N37" s="208"/>
    </row>
    <row r="38" spans="1:14">
      <c r="A38" s="208"/>
      <c r="B38" s="354">
        <v>36</v>
      </c>
      <c r="C38" s="237" t="s">
        <v>68</v>
      </c>
      <c r="D38" s="237" t="s">
        <v>128</v>
      </c>
      <c r="E38" s="208" t="s">
        <v>57</v>
      </c>
      <c r="F38" s="208" t="s">
        <v>129</v>
      </c>
      <c r="G38" s="203"/>
      <c r="H38" s="203">
        <f t="shared" si="0"/>
        <v>36</v>
      </c>
      <c r="I38" s="208">
        <v>17100</v>
      </c>
      <c r="J38" s="208" t="s">
        <v>33</v>
      </c>
      <c r="K38" s="351">
        <v>546743076</v>
      </c>
      <c r="L38" s="351"/>
      <c r="M38" s="208"/>
      <c r="N38" s="208"/>
    </row>
    <row r="39" spans="1:14">
      <c r="A39" s="208"/>
      <c r="B39" s="354">
        <v>37</v>
      </c>
      <c r="C39" s="208"/>
      <c r="D39" s="237" t="s">
        <v>130</v>
      </c>
      <c r="E39" s="208"/>
      <c r="F39" s="208" t="s">
        <v>131</v>
      </c>
      <c r="G39" s="203"/>
      <c r="H39" s="203">
        <f t="shared" si="0"/>
        <v>37</v>
      </c>
      <c r="I39" s="208">
        <v>17100</v>
      </c>
      <c r="J39" s="208" t="s">
        <v>33</v>
      </c>
      <c r="K39" s="351"/>
      <c r="L39" s="351"/>
      <c r="M39" s="208"/>
      <c r="N39" s="208"/>
    </row>
    <row r="40" spans="1:14">
      <c r="A40" s="208"/>
      <c r="B40" s="354">
        <v>38</v>
      </c>
      <c r="C40" s="208" t="s">
        <v>62</v>
      </c>
      <c r="D40" s="237" t="s">
        <v>133</v>
      </c>
      <c r="E40" s="208"/>
      <c r="F40" s="208" t="s">
        <v>132</v>
      </c>
      <c r="G40" s="203"/>
      <c r="H40" s="203">
        <f t="shared" si="0"/>
        <v>38</v>
      </c>
      <c r="I40" s="208">
        <v>17100</v>
      </c>
      <c r="J40" s="208" t="s">
        <v>33</v>
      </c>
      <c r="K40" s="351"/>
      <c r="L40" s="351"/>
      <c r="M40" s="208"/>
      <c r="N40" s="208"/>
    </row>
    <row r="41" spans="1:14">
      <c r="A41" s="208"/>
      <c r="B41" s="354">
        <v>39</v>
      </c>
      <c r="C41" s="208" t="s">
        <v>62</v>
      </c>
      <c r="D41" s="237" t="s">
        <v>134</v>
      </c>
      <c r="E41" s="208"/>
      <c r="F41" s="208" t="s">
        <v>135</v>
      </c>
      <c r="G41" s="203"/>
      <c r="H41" s="203">
        <f t="shared" si="0"/>
        <v>39</v>
      </c>
      <c r="I41" s="208">
        <v>17100</v>
      </c>
      <c r="J41" s="208" t="s">
        <v>33</v>
      </c>
      <c r="K41" s="351"/>
      <c r="L41" s="351"/>
      <c r="M41" s="208"/>
      <c r="N41" s="208"/>
    </row>
    <row r="42" spans="1:14">
      <c r="A42" s="208"/>
      <c r="B42" s="354">
        <v>40</v>
      </c>
      <c r="C42" s="208" t="s">
        <v>137</v>
      </c>
      <c r="D42" s="237" t="s">
        <v>136</v>
      </c>
      <c r="E42" s="208"/>
      <c r="F42" s="208" t="s">
        <v>543</v>
      </c>
      <c r="G42" s="203"/>
      <c r="H42" s="203">
        <f t="shared" si="0"/>
        <v>40</v>
      </c>
      <c r="I42" s="208">
        <v>17610</v>
      </c>
      <c r="J42" s="208" t="s">
        <v>52</v>
      </c>
      <c r="K42" s="351">
        <v>546911026</v>
      </c>
      <c r="L42" s="351"/>
      <c r="M42" s="208"/>
      <c r="N42" s="208"/>
    </row>
    <row r="43" spans="1:14">
      <c r="A43" s="208"/>
      <c r="B43" s="354">
        <v>41</v>
      </c>
      <c r="C43" s="208" t="s">
        <v>137</v>
      </c>
      <c r="D43" s="237" t="s">
        <v>138</v>
      </c>
      <c r="E43" s="208" t="s">
        <v>139</v>
      </c>
      <c r="F43" s="208" t="s">
        <v>140</v>
      </c>
      <c r="G43" s="203"/>
      <c r="H43" s="203">
        <f t="shared" si="0"/>
        <v>41</v>
      </c>
      <c r="I43" s="208">
        <v>17260</v>
      </c>
      <c r="J43" s="208" t="s">
        <v>141</v>
      </c>
      <c r="K43" s="351"/>
      <c r="L43" s="351"/>
      <c r="M43" s="208"/>
      <c r="N43" s="208"/>
    </row>
    <row r="44" spans="1:14">
      <c r="A44" s="208"/>
      <c r="B44" s="354">
        <v>42</v>
      </c>
      <c r="C44" s="208" t="s">
        <v>68</v>
      </c>
      <c r="D44" s="237" t="s">
        <v>142</v>
      </c>
      <c r="E44" s="208" t="s">
        <v>143</v>
      </c>
      <c r="F44" s="208" t="s">
        <v>144</v>
      </c>
      <c r="G44" s="203"/>
      <c r="H44" s="203">
        <f t="shared" si="0"/>
        <v>42</v>
      </c>
      <c r="I44" s="208">
        <v>17100</v>
      </c>
      <c r="J44" s="208" t="s">
        <v>104</v>
      </c>
      <c r="K44" s="351"/>
      <c r="L44" s="351"/>
      <c r="M44" s="208"/>
      <c r="N44" s="208"/>
    </row>
    <row r="45" spans="1:14">
      <c r="A45" s="208"/>
      <c r="B45" s="354">
        <v>43</v>
      </c>
      <c r="C45" s="208" t="s">
        <v>68</v>
      </c>
      <c r="D45" s="237" t="s">
        <v>145</v>
      </c>
      <c r="E45" s="208" t="s">
        <v>146</v>
      </c>
      <c r="F45" s="208" t="s">
        <v>147</v>
      </c>
      <c r="G45" s="203"/>
      <c r="H45" s="203">
        <f t="shared" si="0"/>
        <v>43</v>
      </c>
      <c r="I45" s="208">
        <v>17100</v>
      </c>
      <c r="J45" s="208" t="s">
        <v>33</v>
      </c>
      <c r="K45" s="351">
        <v>546930288</v>
      </c>
      <c r="L45" s="351"/>
      <c r="M45" s="208"/>
      <c r="N45" s="208"/>
    </row>
    <row r="46" spans="1:14">
      <c r="A46" s="208"/>
      <c r="B46" s="354">
        <v>44</v>
      </c>
      <c r="C46" s="208" t="s">
        <v>445</v>
      </c>
      <c r="D46" s="237" t="s">
        <v>148</v>
      </c>
      <c r="E46" s="208" t="s">
        <v>1054</v>
      </c>
      <c r="F46" s="208" t="s">
        <v>1055</v>
      </c>
      <c r="G46" s="203"/>
      <c r="H46" s="203">
        <f t="shared" si="0"/>
        <v>44</v>
      </c>
      <c r="I46" s="208">
        <v>17100</v>
      </c>
      <c r="J46" s="208" t="s">
        <v>33</v>
      </c>
      <c r="K46" s="351">
        <v>546934326</v>
      </c>
      <c r="L46" s="351">
        <v>688964858</v>
      </c>
      <c r="M46" s="208"/>
      <c r="N46" s="208"/>
    </row>
    <row r="47" spans="1:14">
      <c r="A47" s="208"/>
      <c r="B47" s="354">
        <v>45</v>
      </c>
      <c r="C47" s="208" t="s">
        <v>137</v>
      </c>
      <c r="D47" s="237" t="s">
        <v>149</v>
      </c>
      <c r="E47" s="208" t="s">
        <v>113</v>
      </c>
      <c r="F47" s="208" t="s">
        <v>151</v>
      </c>
      <c r="G47" s="203"/>
      <c r="H47" s="203">
        <f t="shared" si="0"/>
        <v>45</v>
      </c>
      <c r="I47" s="208">
        <v>17460</v>
      </c>
      <c r="J47" s="208" t="s">
        <v>150</v>
      </c>
      <c r="K47" s="351">
        <v>5456969356</v>
      </c>
      <c r="L47" s="351">
        <v>681836001</v>
      </c>
      <c r="M47" s="208"/>
      <c r="N47" s="208"/>
    </row>
    <row r="48" spans="1:14">
      <c r="A48" s="208"/>
      <c r="B48" s="354">
        <v>46</v>
      </c>
      <c r="C48" s="208" t="s">
        <v>68</v>
      </c>
      <c r="D48" s="237" t="s">
        <v>152</v>
      </c>
      <c r="E48" s="208" t="s">
        <v>153</v>
      </c>
      <c r="F48" s="208" t="s">
        <v>566</v>
      </c>
      <c r="G48" s="203"/>
      <c r="H48" s="203">
        <f t="shared" si="0"/>
        <v>46</v>
      </c>
      <c r="I48" s="208">
        <v>17100</v>
      </c>
      <c r="J48" s="208" t="s">
        <v>33</v>
      </c>
      <c r="K48" s="351"/>
      <c r="L48" s="351"/>
      <c r="M48" s="208"/>
      <c r="N48" s="208"/>
    </row>
    <row r="49" spans="1:14">
      <c r="A49" s="208"/>
      <c r="B49" s="354">
        <v>47</v>
      </c>
      <c r="C49" s="208" t="s">
        <v>137</v>
      </c>
      <c r="D49" s="237" t="s">
        <v>155</v>
      </c>
      <c r="E49" s="208"/>
      <c r="F49" s="208" t="s">
        <v>156</v>
      </c>
      <c r="G49" s="203"/>
      <c r="H49" s="203">
        <f t="shared" si="0"/>
        <v>47</v>
      </c>
      <c r="I49" s="208">
        <v>17800</v>
      </c>
      <c r="J49" s="208" t="s">
        <v>157</v>
      </c>
      <c r="K49" s="351">
        <v>546980465</v>
      </c>
      <c r="L49" s="351"/>
      <c r="M49" s="208"/>
      <c r="N49" s="208"/>
    </row>
    <row r="50" spans="1:14">
      <c r="A50" s="208"/>
      <c r="B50" s="354">
        <v>48</v>
      </c>
      <c r="C50" s="208" t="s">
        <v>68</v>
      </c>
      <c r="D50" s="237" t="s">
        <v>158</v>
      </c>
      <c r="E50" s="208" t="s">
        <v>159</v>
      </c>
      <c r="F50" s="208" t="s">
        <v>160</v>
      </c>
      <c r="G50" s="203"/>
      <c r="H50" s="203">
        <f t="shared" si="0"/>
        <v>48</v>
      </c>
      <c r="I50" s="208">
        <v>17350</v>
      </c>
      <c r="J50" s="208" t="s">
        <v>161</v>
      </c>
      <c r="K50" s="351"/>
      <c r="L50" s="351"/>
      <c r="M50" s="208"/>
      <c r="N50" s="208"/>
    </row>
    <row r="51" spans="1:14">
      <c r="A51" s="208"/>
      <c r="B51" s="354">
        <v>49</v>
      </c>
      <c r="C51" s="208" t="s">
        <v>68</v>
      </c>
      <c r="D51" s="237" t="s">
        <v>162</v>
      </c>
      <c r="E51" s="208"/>
      <c r="F51" s="208" t="s">
        <v>163</v>
      </c>
      <c r="G51" s="203"/>
      <c r="H51" s="203">
        <f t="shared" si="0"/>
        <v>49</v>
      </c>
      <c r="I51" s="208">
        <v>17100</v>
      </c>
      <c r="J51" s="208" t="s">
        <v>33</v>
      </c>
      <c r="K51" s="351">
        <v>546931088</v>
      </c>
      <c r="L51" s="351"/>
      <c r="M51" s="208"/>
      <c r="N51" s="208"/>
    </row>
    <row r="52" spans="1:14">
      <c r="A52" s="208"/>
      <c r="B52" s="354">
        <v>50</v>
      </c>
      <c r="C52" s="208"/>
      <c r="D52" s="237" t="s">
        <v>164</v>
      </c>
      <c r="E52" s="208"/>
      <c r="F52" s="208" t="s">
        <v>165</v>
      </c>
      <c r="G52" s="203"/>
      <c r="H52" s="203">
        <f t="shared" si="0"/>
        <v>50</v>
      </c>
      <c r="I52" s="208">
        <v>17100</v>
      </c>
      <c r="J52" s="208" t="s">
        <v>33</v>
      </c>
      <c r="K52" s="351"/>
      <c r="L52" s="351"/>
      <c r="M52" s="208"/>
      <c r="N52" s="208"/>
    </row>
    <row r="53" spans="1:14">
      <c r="A53" s="208"/>
      <c r="B53" s="354">
        <v>51</v>
      </c>
      <c r="C53" s="208" t="s">
        <v>62</v>
      </c>
      <c r="D53" s="237" t="s">
        <v>166</v>
      </c>
      <c r="E53" s="208" t="s">
        <v>139</v>
      </c>
      <c r="F53" s="208" t="s">
        <v>167</v>
      </c>
      <c r="G53" s="203"/>
      <c r="H53" s="203">
        <f t="shared" si="0"/>
        <v>51</v>
      </c>
      <c r="I53" s="208">
        <v>17100</v>
      </c>
      <c r="J53" s="208" t="s">
        <v>33</v>
      </c>
      <c r="K53" s="351">
        <v>546746049</v>
      </c>
      <c r="L53" s="351">
        <v>680010814</v>
      </c>
      <c r="M53" s="208"/>
      <c r="N53" s="208"/>
    </row>
    <row r="54" spans="1:14">
      <c r="A54" s="208"/>
      <c r="B54" s="354">
        <v>52</v>
      </c>
      <c r="C54" s="208" t="s">
        <v>137</v>
      </c>
      <c r="D54" s="237" t="s">
        <v>170</v>
      </c>
      <c r="E54" s="208" t="s">
        <v>168</v>
      </c>
      <c r="F54" s="208" t="s">
        <v>169</v>
      </c>
      <c r="G54" s="203"/>
      <c r="H54" s="203">
        <f t="shared" si="0"/>
        <v>52</v>
      </c>
      <c r="I54" s="208">
        <v>17100</v>
      </c>
      <c r="J54" s="208" t="s">
        <v>33</v>
      </c>
      <c r="K54" s="351"/>
      <c r="L54" s="351"/>
      <c r="M54" s="208"/>
      <c r="N54" s="208"/>
    </row>
    <row r="55" spans="1:14">
      <c r="A55" s="208"/>
      <c r="B55" s="354">
        <v>53</v>
      </c>
      <c r="C55" s="208" t="s">
        <v>62</v>
      </c>
      <c r="D55" s="237" t="s">
        <v>171</v>
      </c>
      <c r="E55" s="208"/>
      <c r="F55" s="208" t="s">
        <v>172</v>
      </c>
      <c r="G55" s="203"/>
      <c r="H55" s="203">
        <f t="shared" si="0"/>
        <v>53</v>
      </c>
      <c r="I55" s="208">
        <v>17100</v>
      </c>
      <c r="J55" s="208" t="s">
        <v>33</v>
      </c>
      <c r="K55" s="351">
        <v>546905690</v>
      </c>
      <c r="L55" s="351">
        <v>660825929</v>
      </c>
      <c r="M55" s="208"/>
      <c r="N55" s="208"/>
    </row>
    <row r="56" spans="1:14">
      <c r="A56" s="208"/>
      <c r="B56" s="354">
        <v>54</v>
      </c>
      <c r="C56" s="208" t="s">
        <v>68</v>
      </c>
      <c r="D56" s="237" t="s">
        <v>173</v>
      </c>
      <c r="E56" s="208"/>
      <c r="F56" s="208" t="s">
        <v>174</v>
      </c>
      <c r="G56" s="203"/>
      <c r="H56" s="203">
        <f t="shared" si="0"/>
        <v>54</v>
      </c>
      <c r="I56" s="208">
        <v>17150</v>
      </c>
      <c r="J56" s="208" t="s">
        <v>175</v>
      </c>
      <c r="K56" s="351"/>
      <c r="L56" s="351"/>
      <c r="M56" s="208"/>
      <c r="N56" s="208"/>
    </row>
    <row r="57" spans="1:14">
      <c r="A57" s="208"/>
      <c r="B57" s="354">
        <v>55</v>
      </c>
      <c r="C57" s="208" t="s">
        <v>68</v>
      </c>
      <c r="D57" s="237" t="s">
        <v>176</v>
      </c>
      <c r="E57" s="208" t="s">
        <v>177</v>
      </c>
      <c r="F57" s="208" t="s">
        <v>376</v>
      </c>
      <c r="G57" s="203"/>
      <c r="H57" s="203">
        <f t="shared" si="0"/>
        <v>55</v>
      </c>
      <c r="I57" s="208">
        <v>17100</v>
      </c>
      <c r="J57" s="208" t="s">
        <v>372</v>
      </c>
      <c r="K57" s="351"/>
      <c r="L57" s="351">
        <v>674937917</v>
      </c>
      <c r="M57" s="208"/>
      <c r="N57" s="208"/>
    </row>
    <row r="58" spans="1:14">
      <c r="A58" s="208"/>
      <c r="B58" s="354">
        <v>56</v>
      </c>
      <c r="C58" s="208" t="s">
        <v>68</v>
      </c>
      <c r="D58" s="237" t="s">
        <v>179</v>
      </c>
      <c r="E58" s="208" t="s">
        <v>146</v>
      </c>
      <c r="F58" s="208" t="s">
        <v>180</v>
      </c>
      <c r="G58" s="203"/>
      <c r="H58" s="203">
        <f t="shared" si="0"/>
        <v>56</v>
      </c>
      <c r="I58" s="208">
        <v>17100</v>
      </c>
      <c r="J58" s="208" t="s">
        <v>33</v>
      </c>
      <c r="K58" s="351">
        <v>546953407</v>
      </c>
      <c r="L58" s="351"/>
      <c r="M58" s="208"/>
      <c r="N58" s="208"/>
    </row>
    <row r="59" spans="1:14">
      <c r="A59" s="208"/>
      <c r="B59" s="354">
        <v>57</v>
      </c>
      <c r="C59" s="208" t="s">
        <v>62</v>
      </c>
      <c r="D59" s="237" t="s">
        <v>181</v>
      </c>
      <c r="E59" s="208" t="s">
        <v>182</v>
      </c>
      <c r="F59" s="208" t="s">
        <v>183</v>
      </c>
      <c r="G59" s="203"/>
      <c r="H59" s="203">
        <f t="shared" si="0"/>
        <v>57</v>
      </c>
      <c r="I59" s="208">
        <v>17100</v>
      </c>
      <c r="J59" s="208" t="s">
        <v>32</v>
      </c>
      <c r="K59" s="351">
        <v>546915640</v>
      </c>
      <c r="L59" s="351"/>
      <c r="M59" s="208"/>
      <c r="N59" s="208"/>
    </row>
    <row r="60" spans="1:14">
      <c r="A60" s="208"/>
      <c r="B60" s="354">
        <v>58</v>
      </c>
      <c r="C60" s="208" t="s">
        <v>68</v>
      </c>
      <c r="D60" s="237" t="s">
        <v>184</v>
      </c>
      <c r="E60" s="208" t="s">
        <v>153</v>
      </c>
      <c r="F60" s="208" t="s">
        <v>185</v>
      </c>
      <c r="G60" s="203"/>
      <c r="H60" s="203">
        <f t="shared" si="0"/>
        <v>58</v>
      </c>
      <c r="I60" s="208">
        <v>17100</v>
      </c>
      <c r="J60" s="208" t="s">
        <v>33</v>
      </c>
      <c r="K60" s="351">
        <v>546740683</v>
      </c>
      <c r="L60" s="351"/>
      <c r="M60" s="208"/>
      <c r="N60" s="208"/>
    </row>
    <row r="61" spans="1:14">
      <c r="A61" s="208"/>
      <c r="B61" s="354">
        <v>59</v>
      </c>
      <c r="C61" s="208"/>
      <c r="D61" s="237" t="s">
        <v>186</v>
      </c>
      <c r="E61" s="208"/>
      <c r="F61" s="208" t="s">
        <v>187</v>
      </c>
      <c r="G61" s="203"/>
      <c r="H61" s="203">
        <f t="shared" si="0"/>
        <v>59</v>
      </c>
      <c r="I61" s="208">
        <v>17100</v>
      </c>
      <c r="J61" s="208" t="s">
        <v>188</v>
      </c>
      <c r="K61" s="351"/>
      <c r="L61" s="351"/>
      <c r="M61" s="208"/>
      <c r="N61" s="208"/>
    </row>
    <row r="62" spans="1:14">
      <c r="A62" s="208"/>
      <c r="B62" s="354">
        <v>60</v>
      </c>
      <c r="C62" s="208" t="s">
        <v>68</v>
      </c>
      <c r="D62" s="237" t="s">
        <v>189</v>
      </c>
      <c r="E62" s="208" t="s">
        <v>190</v>
      </c>
      <c r="F62" s="208" t="s">
        <v>191</v>
      </c>
      <c r="G62" s="203"/>
      <c r="H62" s="203">
        <f t="shared" si="0"/>
        <v>60</v>
      </c>
      <c r="I62" s="208">
        <v>17100</v>
      </c>
      <c r="J62" s="208" t="s">
        <v>192</v>
      </c>
      <c r="K62" s="351">
        <v>546922762</v>
      </c>
      <c r="L62" s="351"/>
      <c r="M62" s="208"/>
      <c r="N62" s="208"/>
    </row>
    <row r="63" spans="1:14">
      <c r="A63" s="208"/>
      <c r="B63" s="354">
        <v>61</v>
      </c>
      <c r="C63" s="208" t="s">
        <v>1050</v>
      </c>
      <c r="D63" s="237" t="s">
        <v>193</v>
      </c>
      <c r="E63" s="208" t="s">
        <v>194</v>
      </c>
      <c r="F63" s="208" t="s">
        <v>792</v>
      </c>
      <c r="G63" s="203"/>
      <c r="H63" s="203">
        <f t="shared" si="0"/>
        <v>61</v>
      </c>
      <c r="I63" s="208">
        <v>17100</v>
      </c>
      <c r="J63" s="208" t="s">
        <v>33</v>
      </c>
      <c r="K63" s="351">
        <v>546911001</v>
      </c>
      <c r="L63" s="351"/>
      <c r="M63" s="208"/>
      <c r="N63" s="208"/>
    </row>
    <row r="64" spans="1:14">
      <c r="A64" s="208"/>
      <c r="B64" s="354">
        <v>62</v>
      </c>
      <c r="C64" s="208" t="s">
        <v>62</v>
      </c>
      <c r="D64" s="237" t="s">
        <v>195</v>
      </c>
      <c r="E64" s="208" t="s">
        <v>196</v>
      </c>
      <c r="F64" s="208" t="s">
        <v>197</v>
      </c>
      <c r="G64" s="203"/>
      <c r="H64" s="203">
        <f t="shared" si="0"/>
        <v>62</v>
      </c>
      <c r="I64" s="208">
        <v>17610</v>
      </c>
      <c r="J64" s="208" t="s">
        <v>52</v>
      </c>
      <c r="K64" s="351">
        <v>546910307</v>
      </c>
      <c r="L64" s="351"/>
      <c r="M64" s="208"/>
      <c r="N64" s="208"/>
    </row>
    <row r="65" spans="1:14">
      <c r="A65" s="208"/>
      <c r="B65" s="354">
        <v>63</v>
      </c>
      <c r="C65" s="208" t="s">
        <v>68</v>
      </c>
      <c r="D65" s="237" t="s">
        <v>198</v>
      </c>
      <c r="E65" s="208" t="s">
        <v>199</v>
      </c>
      <c r="F65" s="208" t="s">
        <v>200</v>
      </c>
      <c r="G65" s="203"/>
      <c r="H65" s="203">
        <f t="shared" si="0"/>
        <v>63</v>
      </c>
      <c r="I65" s="208">
        <v>17100</v>
      </c>
      <c r="J65" s="208" t="s">
        <v>33</v>
      </c>
      <c r="K65" s="351"/>
      <c r="L65" s="351"/>
      <c r="M65" s="208"/>
      <c r="N65" s="208"/>
    </row>
    <row r="66" spans="1:14">
      <c r="A66" s="208"/>
      <c r="B66" s="354">
        <v>64</v>
      </c>
      <c r="C66" s="208" t="s">
        <v>68</v>
      </c>
      <c r="D66" s="237" t="s">
        <v>201</v>
      </c>
      <c r="E66" s="208" t="s">
        <v>202</v>
      </c>
      <c r="F66" s="208" t="s">
        <v>203</v>
      </c>
      <c r="G66" s="203"/>
      <c r="H66" s="203">
        <f t="shared" si="0"/>
        <v>64</v>
      </c>
      <c r="I66" s="208" t="s">
        <v>204</v>
      </c>
      <c r="J66" s="208"/>
      <c r="K66" s="351"/>
      <c r="L66" s="351"/>
      <c r="M66" s="208"/>
      <c r="N66" s="208"/>
    </row>
    <row r="67" spans="1:14">
      <c r="A67" s="208"/>
      <c r="B67" s="354">
        <v>65</v>
      </c>
      <c r="C67" s="208" t="s">
        <v>62</v>
      </c>
      <c r="D67" s="237" t="s">
        <v>205</v>
      </c>
      <c r="E67" s="208"/>
      <c r="F67" s="208" t="s">
        <v>206</v>
      </c>
      <c r="G67" s="203"/>
      <c r="H67" s="203">
        <f t="shared" si="0"/>
        <v>65</v>
      </c>
      <c r="I67" s="208">
        <v>17350</v>
      </c>
      <c r="J67" s="208" t="s">
        <v>161</v>
      </c>
      <c r="K67" s="351"/>
      <c r="L67" s="351"/>
      <c r="M67" s="208"/>
      <c r="N67" s="208"/>
    </row>
    <row r="68" spans="1:14">
      <c r="A68" s="208"/>
      <c r="B68" s="354">
        <v>66</v>
      </c>
      <c r="C68" s="208" t="s">
        <v>68</v>
      </c>
      <c r="D68" s="237" t="s">
        <v>207</v>
      </c>
      <c r="E68" s="208" t="s">
        <v>143</v>
      </c>
      <c r="F68" s="208" t="s">
        <v>208</v>
      </c>
      <c r="G68" s="203"/>
      <c r="H68" s="203">
        <f t="shared" ref="H68:H131" si="1">B68</f>
        <v>66</v>
      </c>
      <c r="I68" s="208">
        <v>17100</v>
      </c>
      <c r="J68" s="208" t="s">
        <v>33</v>
      </c>
      <c r="K68" s="351">
        <v>546915868</v>
      </c>
      <c r="L68" s="351"/>
      <c r="M68" s="208"/>
      <c r="N68" s="208"/>
    </row>
    <row r="69" spans="1:14">
      <c r="A69" s="208" t="s">
        <v>209</v>
      </c>
      <c r="B69" s="354">
        <v>67</v>
      </c>
      <c r="C69" s="208" t="s">
        <v>62</v>
      </c>
      <c r="D69" s="237" t="s">
        <v>212</v>
      </c>
      <c r="E69" s="208"/>
      <c r="F69" s="208" t="s">
        <v>210</v>
      </c>
      <c r="G69" s="203"/>
      <c r="H69" s="203">
        <f t="shared" si="1"/>
        <v>67</v>
      </c>
      <c r="I69" s="208">
        <v>17770</v>
      </c>
      <c r="J69" s="208" t="s">
        <v>211</v>
      </c>
      <c r="K69" s="351"/>
      <c r="L69" s="351"/>
      <c r="M69" s="208"/>
      <c r="N69" s="208"/>
    </row>
    <row r="70" spans="1:14">
      <c r="A70" s="208"/>
      <c r="B70" s="354">
        <v>68</v>
      </c>
      <c r="C70" s="208" t="s">
        <v>62</v>
      </c>
      <c r="D70" s="237" t="s">
        <v>213</v>
      </c>
      <c r="E70" s="208"/>
      <c r="F70" s="208" t="s">
        <v>214</v>
      </c>
      <c r="G70" s="203"/>
      <c r="H70" s="203">
        <f t="shared" si="1"/>
        <v>68</v>
      </c>
      <c r="I70" s="208">
        <v>17100</v>
      </c>
      <c r="J70" s="208" t="s">
        <v>33</v>
      </c>
      <c r="K70" s="351"/>
      <c r="L70" s="351"/>
      <c r="M70" s="208"/>
      <c r="N70" s="208"/>
    </row>
    <row r="71" spans="1:14">
      <c r="A71" s="208"/>
      <c r="B71" s="354">
        <v>69</v>
      </c>
      <c r="C71" s="208" t="s">
        <v>68</v>
      </c>
      <c r="D71" s="237" t="s">
        <v>215</v>
      </c>
      <c r="E71" s="208"/>
      <c r="F71" s="208" t="s">
        <v>216</v>
      </c>
      <c r="G71" s="203"/>
      <c r="H71" s="203">
        <f t="shared" si="1"/>
        <v>69</v>
      </c>
      <c r="I71" s="208">
        <v>17100</v>
      </c>
      <c r="J71" s="208" t="s">
        <v>356</v>
      </c>
      <c r="K71" s="351"/>
      <c r="L71" s="351"/>
      <c r="M71" s="208"/>
      <c r="N71" s="208"/>
    </row>
    <row r="72" spans="1:14">
      <c r="A72" s="208"/>
      <c r="B72" s="354">
        <v>70</v>
      </c>
      <c r="C72" s="208" t="s">
        <v>62</v>
      </c>
      <c r="D72" s="237" t="s">
        <v>217</v>
      </c>
      <c r="E72" s="208"/>
      <c r="F72" s="208" t="s">
        <v>218</v>
      </c>
      <c r="G72" s="203"/>
      <c r="H72" s="203">
        <f t="shared" si="1"/>
        <v>70</v>
      </c>
      <c r="I72" s="208">
        <v>17100</v>
      </c>
      <c r="J72" s="208" t="s">
        <v>188</v>
      </c>
      <c r="K72" s="351">
        <v>546743508</v>
      </c>
      <c r="L72" s="351"/>
      <c r="M72" s="208"/>
      <c r="N72" s="208"/>
    </row>
    <row r="73" spans="1:14">
      <c r="A73" s="208"/>
      <c r="B73" s="354">
        <v>71</v>
      </c>
      <c r="C73" s="208" t="s">
        <v>137</v>
      </c>
      <c r="D73" s="237" t="s">
        <v>247</v>
      </c>
      <c r="E73" s="208"/>
      <c r="F73" s="208" t="s">
        <v>219</v>
      </c>
      <c r="G73" s="203"/>
      <c r="H73" s="203">
        <f t="shared" si="1"/>
        <v>71</v>
      </c>
      <c r="I73" s="208">
        <v>17800</v>
      </c>
      <c r="J73" s="208" t="s">
        <v>220</v>
      </c>
      <c r="K73" s="351"/>
      <c r="L73" s="351"/>
      <c r="M73" s="208"/>
      <c r="N73" s="208"/>
    </row>
    <row r="74" spans="1:14">
      <c r="A74" s="208"/>
      <c r="B74" s="354">
        <v>72</v>
      </c>
      <c r="C74" s="208" t="s">
        <v>16</v>
      </c>
      <c r="D74" s="237" t="s">
        <v>221</v>
      </c>
      <c r="E74" s="208"/>
      <c r="F74" s="208" t="s">
        <v>222</v>
      </c>
      <c r="G74" s="203"/>
      <c r="H74" s="203">
        <f t="shared" si="1"/>
        <v>72</v>
      </c>
      <c r="I74" s="208">
        <v>17100</v>
      </c>
      <c r="J74" s="208" t="s">
        <v>33</v>
      </c>
      <c r="K74" s="351">
        <v>546937142</v>
      </c>
      <c r="L74" s="351"/>
      <c r="M74" s="208"/>
      <c r="N74" s="208"/>
    </row>
    <row r="75" spans="1:14">
      <c r="A75" s="208"/>
      <c r="B75" s="354">
        <v>73</v>
      </c>
      <c r="C75" s="208" t="s">
        <v>62</v>
      </c>
      <c r="D75" s="237" t="s">
        <v>223</v>
      </c>
      <c r="E75" s="208" t="s">
        <v>224</v>
      </c>
      <c r="F75" s="208" t="s">
        <v>755</v>
      </c>
      <c r="G75" s="203"/>
      <c r="H75" s="203">
        <f t="shared" si="1"/>
        <v>73</v>
      </c>
      <c r="I75" s="208">
        <v>17610</v>
      </c>
      <c r="J75" s="208" t="s">
        <v>154</v>
      </c>
      <c r="K75" s="351">
        <v>546915372</v>
      </c>
      <c r="L75" s="351"/>
      <c r="M75" s="208"/>
      <c r="N75" s="208"/>
    </row>
    <row r="76" spans="1:14">
      <c r="A76" s="208"/>
      <c r="B76" s="354">
        <v>74</v>
      </c>
      <c r="C76" s="208" t="s">
        <v>68</v>
      </c>
      <c r="D76" s="237" t="s">
        <v>225</v>
      </c>
      <c r="E76" s="208" t="s">
        <v>226</v>
      </c>
      <c r="F76" s="208" t="s">
        <v>227</v>
      </c>
      <c r="G76" s="203"/>
      <c r="H76" s="203">
        <f t="shared" si="1"/>
        <v>74</v>
      </c>
      <c r="I76" s="208">
        <v>17610</v>
      </c>
      <c r="J76" s="208" t="s">
        <v>52</v>
      </c>
      <c r="K76" s="351">
        <v>546921660</v>
      </c>
      <c r="L76" s="351"/>
      <c r="M76" s="208"/>
      <c r="N76" s="208"/>
    </row>
    <row r="77" spans="1:14">
      <c r="A77" s="208"/>
      <c r="B77" s="354">
        <v>75</v>
      </c>
      <c r="C77" s="208" t="s">
        <v>68</v>
      </c>
      <c r="D77" s="237" t="s">
        <v>228</v>
      </c>
      <c r="E77" s="208" t="s">
        <v>202</v>
      </c>
      <c r="F77" s="208" t="s">
        <v>1488</v>
      </c>
      <c r="G77" s="203"/>
      <c r="H77" s="203">
        <f t="shared" si="1"/>
        <v>75</v>
      </c>
      <c r="I77" s="208">
        <v>17100</v>
      </c>
      <c r="J77" s="208" t="s">
        <v>33</v>
      </c>
      <c r="K77" s="351">
        <v>546925058</v>
      </c>
      <c r="L77" s="351"/>
      <c r="M77" s="208"/>
      <c r="N77" s="208"/>
    </row>
    <row r="78" spans="1:14">
      <c r="A78" s="208"/>
      <c r="B78" s="354">
        <v>76</v>
      </c>
      <c r="C78" s="208" t="s">
        <v>68</v>
      </c>
      <c r="D78" s="237" t="s">
        <v>229</v>
      </c>
      <c r="E78" s="208" t="s">
        <v>230</v>
      </c>
      <c r="F78" s="208" t="s">
        <v>231</v>
      </c>
      <c r="G78" s="203"/>
      <c r="H78" s="203">
        <f t="shared" si="1"/>
        <v>76</v>
      </c>
      <c r="I78" s="208">
        <v>17610</v>
      </c>
      <c r="J78" s="208" t="s">
        <v>52</v>
      </c>
      <c r="K78" s="351">
        <v>546911432</v>
      </c>
      <c r="L78" s="351"/>
      <c r="M78" s="208"/>
      <c r="N78" s="208"/>
    </row>
    <row r="79" spans="1:14">
      <c r="A79" s="208"/>
      <c r="B79" s="354">
        <v>77</v>
      </c>
      <c r="C79" s="208" t="s">
        <v>68</v>
      </c>
      <c r="D79" s="237" t="s">
        <v>232</v>
      </c>
      <c r="E79" s="208" t="s">
        <v>233</v>
      </c>
      <c r="F79" s="208" t="s">
        <v>234</v>
      </c>
      <c r="G79" s="203"/>
      <c r="H79" s="203">
        <f t="shared" si="1"/>
        <v>77</v>
      </c>
      <c r="I79" s="208">
        <v>17610</v>
      </c>
      <c r="J79" s="208" t="s">
        <v>52</v>
      </c>
      <c r="K79" s="351">
        <v>546914267</v>
      </c>
      <c r="L79" s="351"/>
      <c r="M79" s="208"/>
      <c r="N79" s="208"/>
    </row>
    <row r="80" spans="1:14">
      <c r="A80" s="208"/>
      <c r="B80" s="354">
        <v>78</v>
      </c>
      <c r="C80" s="208"/>
      <c r="D80" s="237" t="s">
        <v>235</v>
      </c>
      <c r="E80" s="208" t="s">
        <v>236</v>
      </c>
      <c r="F80" s="208" t="s">
        <v>237</v>
      </c>
      <c r="G80" s="203"/>
      <c r="H80" s="203">
        <f t="shared" si="1"/>
        <v>78</v>
      </c>
      <c r="I80" s="208">
        <v>17100</v>
      </c>
      <c r="J80" s="208" t="s">
        <v>356</v>
      </c>
      <c r="K80" s="351">
        <v>546931935</v>
      </c>
      <c r="L80" s="351"/>
      <c r="M80" s="208"/>
      <c r="N80" s="208"/>
    </row>
    <row r="81" spans="1:14">
      <c r="A81" s="208"/>
      <c r="B81" s="354">
        <v>79</v>
      </c>
      <c r="C81" s="208" t="s">
        <v>65</v>
      </c>
      <c r="D81" s="237" t="s">
        <v>238</v>
      </c>
      <c r="E81" s="208" t="s">
        <v>240</v>
      </c>
      <c r="F81" s="208" t="s">
        <v>239</v>
      </c>
      <c r="G81" s="203"/>
      <c r="H81" s="203">
        <f t="shared" si="1"/>
        <v>79</v>
      </c>
      <c r="I81" s="208">
        <v>17100</v>
      </c>
      <c r="J81" s="208" t="s">
        <v>33</v>
      </c>
      <c r="K81" s="351">
        <v>546743031</v>
      </c>
      <c r="L81" s="351"/>
      <c r="M81" s="208"/>
      <c r="N81" s="208"/>
    </row>
    <row r="82" spans="1:14">
      <c r="A82" s="208"/>
      <c r="B82" s="354">
        <v>80</v>
      </c>
      <c r="C82" s="208" t="s">
        <v>68</v>
      </c>
      <c r="D82" s="237" t="s">
        <v>241</v>
      </c>
      <c r="E82" s="208" t="s">
        <v>242</v>
      </c>
      <c r="F82" s="208" t="s">
        <v>243</v>
      </c>
      <c r="G82" s="203"/>
      <c r="H82" s="203">
        <f t="shared" si="1"/>
        <v>80</v>
      </c>
      <c r="I82" s="208">
        <v>17500</v>
      </c>
      <c r="J82" s="208" t="s">
        <v>244</v>
      </c>
      <c r="K82" s="351">
        <v>546485085</v>
      </c>
      <c r="L82" s="351"/>
      <c r="M82" s="208"/>
      <c r="N82" s="208"/>
    </row>
    <row r="83" spans="1:14">
      <c r="A83" s="208"/>
      <c r="B83" s="354">
        <v>81</v>
      </c>
      <c r="C83" s="208" t="s">
        <v>62</v>
      </c>
      <c r="D83" s="237" t="s">
        <v>245</v>
      </c>
      <c r="E83" s="208"/>
      <c r="F83" s="208" t="s">
        <v>246</v>
      </c>
      <c r="G83" s="203"/>
      <c r="H83" s="203">
        <f t="shared" si="1"/>
        <v>81</v>
      </c>
      <c r="I83" s="208">
        <v>17810</v>
      </c>
      <c r="J83" s="208" t="s">
        <v>55</v>
      </c>
      <c r="K83" s="351"/>
      <c r="L83" s="351"/>
      <c r="M83" s="208"/>
      <c r="N83" s="208"/>
    </row>
    <row r="84" spans="1:14">
      <c r="A84" s="208"/>
      <c r="B84" s="354">
        <v>82</v>
      </c>
      <c r="C84" s="208" t="s">
        <v>68</v>
      </c>
      <c r="D84" s="237" t="s">
        <v>248</v>
      </c>
      <c r="E84" s="208" t="s">
        <v>249</v>
      </c>
      <c r="F84" s="208" t="s">
        <v>250</v>
      </c>
      <c r="G84" s="203"/>
      <c r="H84" s="203">
        <f t="shared" si="1"/>
        <v>82</v>
      </c>
      <c r="I84" s="208">
        <v>62000</v>
      </c>
      <c r="J84" s="208" t="s">
        <v>251</v>
      </c>
      <c r="K84" s="351"/>
      <c r="L84" s="351"/>
      <c r="M84" s="208"/>
      <c r="N84" s="208"/>
    </row>
    <row r="85" spans="1:14">
      <c r="A85" s="208"/>
      <c r="B85" s="354">
        <v>83</v>
      </c>
      <c r="C85" s="208"/>
      <c r="D85" s="237" t="s">
        <v>252</v>
      </c>
      <c r="E85" s="208" t="s">
        <v>253</v>
      </c>
      <c r="F85" s="208" t="s">
        <v>254</v>
      </c>
      <c r="G85" s="203"/>
      <c r="H85" s="203">
        <f t="shared" si="1"/>
        <v>83</v>
      </c>
      <c r="I85" s="208">
        <v>17000</v>
      </c>
      <c r="J85" s="208" t="s">
        <v>255</v>
      </c>
      <c r="K85" s="351">
        <v>546456400</v>
      </c>
      <c r="L85" s="351"/>
      <c r="M85" s="208"/>
      <c r="N85" s="208"/>
    </row>
    <row r="86" spans="1:14">
      <c r="A86" s="208"/>
      <c r="B86" s="354">
        <v>84</v>
      </c>
      <c r="C86" s="208" t="s">
        <v>68</v>
      </c>
      <c r="D86" s="237" t="s">
        <v>256</v>
      </c>
      <c r="E86" s="208" t="s">
        <v>257</v>
      </c>
      <c r="F86" s="208" t="s">
        <v>258</v>
      </c>
      <c r="G86" s="203"/>
      <c r="H86" s="203">
        <f t="shared" si="1"/>
        <v>84</v>
      </c>
      <c r="I86" s="208">
        <v>17610</v>
      </c>
      <c r="J86" s="208" t="s">
        <v>52</v>
      </c>
      <c r="K86" s="351"/>
      <c r="L86" s="351"/>
      <c r="M86" s="208"/>
      <c r="N86" s="208"/>
    </row>
    <row r="87" spans="1:14">
      <c r="A87" s="208"/>
      <c r="B87" s="354">
        <v>85</v>
      </c>
      <c r="C87" s="208" t="s">
        <v>68</v>
      </c>
      <c r="D87" s="237" t="s">
        <v>259</v>
      </c>
      <c r="E87" s="208" t="s">
        <v>260</v>
      </c>
      <c r="F87" s="208" t="s">
        <v>261</v>
      </c>
      <c r="G87" s="203"/>
      <c r="H87" s="203">
        <f t="shared" si="1"/>
        <v>85</v>
      </c>
      <c r="I87" s="208">
        <v>17100</v>
      </c>
      <c r="J87" s="208" t="s">
        <v>127</v>
      </c>
      <c r="K87" s="351">
        <v>546743677</v>
      </c>
      <c r="L87" s="351"/>
      <c r="M87" s="208"/>
      <c r="N87" s="208"/>
    </row>
    <row r="88" spans="1:14">
      <c r="A88" s="208"/>
      <c r="B88" s="354">
        <v>86</v>
      </c>
      <c r="C88" s="208" t="s">
        <v>68</v>
      </c>
      <c r="D88" s="237" t="s">
        <v>262</v>
      </c>
      <c r="E88" s="208" t="s">
        <v>263</v>
      </c>
      <c r="F88" s="208" t="s">
        <v>264</v>
      </c>
      <c r="G88" s="203"/>
      <c r="H88" s="203">
        <f t="shared" si="1"/>
        <v>86</v>
      </c>
      <c r="I88" s="208">
        <v>17100</v>
      </c>
      <c r="J88" s="208" t="s">
        <v>265</v>
      </c>
      <c r="K88" s="351">
        <v>546977183</v>
      </c>
      <c r="L88" s="351"/>
      <c r="M88" s="208"/>
      <c r="N88" s="208"/>
    </row>
    <row r="89" spans="1:14">
      <c r="A89" s="208"/>
      <c r="B89" s="354">
        <v>87</v>
      </c>
      <c r="C89" s="208" t="s">
        <v>68</v>
      </c>
      <c r="D89" s="237" t="s">
        <v>266</v>
      </c>
      <c r="E89" s="208" t="s">
        <v>267</v>
      </c>
      <c r="F89" s="208" t="s">
        <v>268</v>
      </c>
      <c r="G89" s="203"/>
      <c r="H89" s="203">
        <f t="shared" si="1"/>
        <v>87</v>
      </c>
      <c r="I89" s="208">
        <v>16100</v>
      </c>
      <c r="J89" s="208" t="s">
        <v>178</v>
      </c>
      <c r="K89" s="351">
        <v>545323739</v>
      </c>
      <c r="L89" s="351"/>
      <c r="M89" s="208"/>
      <c r="N89" s="208"/>
    </row>
    <row r="90" spans="1:14">
      <c r="A90" s="208"/>
      <c r="B90" s="354">
        <v>88</v>
      </c>
      <c r="C90" s="208" t="s">
        <v>68</v>
      </c>
      <c r="D90" s="237" t="s">
        <v>269</v>
      </c>
      <c r="E90" s="208" t="s">
        <v>270</v>
      </c>
      <c r="F90" s="208" t="s">
        <v>271</v>
      </c>
      <c r="G90" s="203"/>
      <c r="H90" s="203">
        <f t="shared" si="1"/>
        <v>88</v>
      </c>
      <c r="I90" s="208">
        <v>16100</v>
      </c>
      <c r="J90" s="208" t="s">
        <v>272</v>
      </c>
      <c r="K90" s="351"/>
      <c r="L90" s="351"/>
      <c r="M90" s="208"/>
      <c r="N90" s="208"/>
    </row>
    <row r="91" spans="1:14">
      <c r="A91" s="208"/>
      <c r="B91" s="354">
        <v>89</v>
      </c>
      <c r="C91" s="208" t="s">
        <v>68</v>
      </c>
      <c r="D91" s="237" t="s">
        <v>273</v>
      </c>
      <c r="E91" s="208" t="s">
        <v>274</v>
      </c>
      <c r="F91" s="208" t="s">
        <v>275</v>
      </c>
      <c r="G91" s="203"/>
      <c r="H91" s="203">
        <f t="shared" si="1"/>
        <v>89</v>
      </c>
      <c r="I91" s="208">
        <v>17100</v>
      </c>
      <c r="J91" s="208" t="s">
        <v>188</v>
      </c>
      <c r="K91" s="351"/>
      <c r="L91" s="351"/>
      <c r="M91" s="208"/>
      <c r="N91" s="208"/>
    </row>
    <row r="92" spans="1:14">
      <c r="A92" s="208"/>
      <c r="B92" s="354">
        <v>90</v>
      </c>
      <c r="C92" s="208" t="s">
        <v>68</v>
      </c>
      <c r="D92" s="237" t="s">
        <v>277</v>
      </c>
      <c r="E92" s="208" t="s">
        <v>57</v>
      </c>
      <c r="F92" s="208" t="s">
        <v>278</v>
      </c>
      <c r="G92" s="203"/>
      <c r="H92" s="203">
        <f t="shared" si="1"/>
        <v>90</v>
      </c>
      <c r="I92" s="208">
        <v>17100</v>
      </c>
      <c r="J92" s="208" t="s">
        <v>356</v>
      </c>
      <c r="K92" s="351"/>
      <c r="L92" s="351"/>
      <c r="M92" s="208"/>
      <c r="N92" s="208"/>
    </row>
    <row r="93" spans="1:14">
      <c r="A93" s="208"/>
      <c r="B93" s="354">
        <v>91</v>
      </c>
      <c r="C93" s="208"/>
      <c r="D93" s="237" t="s">
        <v>279</v>
      </c>
      <c r="E93" s="208"/>
      <c r="F93" s="208" t="s">
        <v>280</v>
      </c>
      <c r="G93" s="203"/>
      <c r="H93" s="203">
        <f t="shared" si="1"/>
        <v>91</v>
      </c>
      <c r="I93" s="208">
        <v>85220</v>
      </c>
      <c r="J93" s="208" t="s">
        <v>281</v>
      </c>
      <c r="K93" s="351">
        <v>251543862</v>
      </c>
      <c r="L93" s="351"/>
      <c r="M93" s="208"/>
      <c r="N93" s="208"/>
    </row>
    <row r="94" spans="1:14">
      <c r="A94" s="208"/>
      <c r="B94" s="354">
        <v>92</v>
      </c>
      <c r="C94" s="208" t="s">
        <v>62</v>
      </c>
      <c r="D94" s="237" t="s">
        <v>282</v>
      </c>
      <c r="E94" s="208"/>
      <c r="F94" s="208" t="s">
        <v>283</v>
      </c>
      <c r="G94" s="203"/>
      <c r="H94" s="203">
        <f t="shared" si="1"/>
        <v>92</v>
      </c>
      <c r="I94" s="208">
        <v>17100</v>
      </c>
      <c r="J94" s="208" t="s">
        <v>188</v>
      </c>
      <c r="K94" s="351">
        <v>546934251</v>
      </c>
      <c r="L94" s="351"/>
      <c r="M94" s="208"/>
      <c r="N94" s="208"/>
    </row>
    <row r="95" spans="1:14">
      <c r="A95" s="208"/>
      <c r="B95" s="354">
        <v>93</v>
      </c>
      <c r="C95" s="208"/>
      <c r="D95" s="237" t="s">
        <v>284</v>
      </c>
      <c r="E95" s="208"/>
      <c r="F95" s="208" t="s">
        <v>285</v>
      </c>
      <c r="G95" s="203"/>
      <c r="H95" s="203">
        <f t="shared" si="1"/>
        <v>93</v>
      </c>
      <c r="I95" s="208">
        <v>17800</v>
      </c>
      <c r="J95" s="208" t="s">
        <v>157</v>
      </c>
      <c r="K95" s="351">
        <v>546914747</v>
      </c>
      <c r="L95" s="351"/>
      <c r="M95" s="208"/>
      <c r="N95" s="208"/>
    </row>
    <row r="96" spans="1:14">
      <c r="A96" s="208"/>
      <c r="B96" s="354">
        <v>94</v>
      </c>
      <c r="C96" s="208" t="s">
        <v>288</v>
      </c>
      <c r="D96" s="237" t="s">
        <v>286</v>
      </c>
      <c r="E96" s="208"/>
      <c r="F96" s="208" t="s">
        <v>324</v>
      </c>
      <c r="G96" s="203"/>
      <c r="H96" s="203">
        <f t="shared" si="1"/>
        <v>94</v>
      </c>
      <c r="I96" s="208">
        <v>17810</v>
      </c>
      <c r="J96" s="208" t="s">
        <v>287</v>
      </c>
      <c r="K96" s="351">
        <v>546746402</v>
      </c>
      <c r="L96" s="351"/>
      <c r="M96" s="208"/>
      <c r="N96" s="208"/>
    </row>
    <row r="97" spans="1:14">
      <c r="A97" s="208"/>
      <c r="B97" s="354">
        <v>95</v>
      </c>
      <c r="C97" s="208" t="s">
        <v>68</v>
      </c>
      <c r="D97" s="237" t="s">
        <v>289</v>
      </c>
      <c r="E97" s="208" t="s">
        <v>290</v>
      </c>
      <c r="F97" s="208" t="s">
        <v>291</v>
      </c>
      <c r="G97" s="203"/>
      <c r="H97" s="203">
        <f t="shared" si="1"/>
        <v>95</v>
      </c>
      <c r="I97" s="208">
        <v>17100</v>
      </c>
      <c r="J97" s="208" t="s">
        <v>33</v>
      </c>
      <c r="K97" s="351"/>
      <c r="L97" s="351"/>
      <c r="M97" s="208"/>
      <c r="N97" s="208"/>
    </row>
    <row r="98" spans="1:14">
      <c r="A98" s="208"/>
      <c r="B98" s="354">
        <v>96</v>
      </c>
      <c r="C98" s="208" t="s">
        <v>68</v>
      </c>
      <c r="D98" s="237" t="s">
        <v>292</v>
      </c>
      <c r="E98" s="208" t="s">
        <v>106</v>
      </c>
      <c r="F98" s="208" t="s">
        <v>293</v>
      </c>
      <c r="G98" s="203"/>
      <c r="H98" s="203">
        <f t="shared" si="1"/>
        <v>96</v>
      </c>
      <c r="I98" s="208">
        <v>17460</v>
      </c>
      <c r="J98" s="208" t="s">
        <v>294</v>
      </c>
      <c r="K98" s="351">
        <v>546922057</v>
      </c>
      <c r="L98" s="351"/>
      <c r="M98" s="208"/>
      <c r="N98" s="208"/>
    </row>
    <row r="99" spans="1:14">
      <c r="A99" s="208"/>
      <c r="B99" s="354">
        <v>97</v>
      </c>
      <c r="C99" s="208" t="s">
        <v>68</v>
      </c>
      <c r="D99" s="237" t="s">
        <v>295</v>
      </c>
      <c r="E99" s="208"/>
      <c r="F99" s="208" t="s">
        <v>301</v>
      </c>
      <c r="G99" s="203"/>
      <c r="H99" s="203">
        <f t="shared" si="1"/>
        <v>97</v>
      </c>
      <c r="I99" s="208">
        <v>17100</v>
      </c>
      <c r="J99" s="208" t="s">
        <v>33</v>
      </c>
      <c r="K99" s="351"/>
      <c r="L99" s="351"/>
      <c r="M99" s="208"/>
      <c r="N99" s="208"/>
    </row>
    <row r="100" spans="1:14">
      <c r="A100" s="208"/>
      <c r="B100" s="354">
        <v>98</v>
      </c>
      <c r="C100" s="208" t="s">
        <v>62</v>
      </c>
      <c r="D100" s="237" t="s">
        <v>296</v>
      </c>
      <c r="E100" s="208"/>
      <c r="F100" s="208" t="s">
        <v>297</v>
      </c>
      <c r="G100" s="203"/>
      <c r="H100" s="203">
        <f t="shared" si="1"/>
        <v>98</v>
      </c>
      <c r="I100" s="208">
        <v>17300</v>
      </c>
      <c r="J100" s="208" t="s">
        <v>298</v>
      </c>
      <c r="K100" s="351">
        <v>546882435</v>
      </c>
      <c r="L100" s="351"/>
      <c r="M100" s="208"/>
      <c r="N100" s="208"/>
    </row>
    <row r="101" spans="1:14">
      <c r="A101" s="208"/>
      <c r="B101" s="354">
        <v>99</v>
      </c>
      <c r="C101" s="208" t="s">
        <v>68</v>
      </c>
      <c r="D101" s="237" t="s">
        <v>299</v>
      </c>
      <c r="E101" s="208" t="s">
        <v>300</v>
      </c>
      <c r="F101" s="208"/>
      <c r="G101" s="203"/>
      <c r="H101" s="203">
        <f t="shared" si="1"/>
        <v>99</v>
      </c>
      <c r="I101" s="208">
        <v>17100</v>
      </c>
      <c r="J101" s="208" t="s">
        <v>188</v>
      </c>
      <c r="K101" s="351"/>
      <c r="L101" s="351"/>
      <c r="M101" s="208"/>
      <c r="N101" s="208"/>
    </row>
    <row r="102" spans="1:14">
      <c r="A102" s="208"/>
      <c r="B102" s="354">
        <v>100</v>
      </c>
      <c r="C102" s="208" t="s">
        <v>68</v>
      </c>
      <c r="D102" s="237" t="s">
        <v>302</v>
      </c>
      <c r="E102" s="208" t="s">
        <v>153</v>
      </c>
      <c r="F102" s="208" t="s">
        <v>303</v>
      </c>
      <c r="G102" s="203"/>
      <c r="H102" s="203">
        <f t="shared" si="1"/>
        <v>100</v>
      </c>
      <c r="I102" s="208">
        <v>17100</v>
      </c>
      <c r="J102" s="208" t="s">
        <v>33</v>
      </c>
      <c r="K102" s="351">
        <v>546930827</v>
      </c>
      <c r="L102" s="351"/>
      <c r="M102" s="208"/>
      <c r="N102" s="208"/>
    </row>
    <row r="103" spans="1:14">
      <c r="A103" s="208"/>
      <c r="B103" s="354">
        <v>101</v>
      </c>
      <c r="C103" s="208" t="s">
        <v>304</v>
      </c>
      <c r="D103" s="237" t="s">
        <v>306</v>
      </c>
      <c r="E103" s="208" t="s">
        <v>80</v>
      </c>
      <c r="F103" s="208" t="s">
        <v>305</v>
      </c>
      <c r="G103" s="203"/>
      <c r="H103" s="203">
        <f t="shared" si="1"/>
        <v>101</v>
      </c>
      <c r="I103" s="208">
        <v>17100</v>
      </c>
      <c r="J103" s="208" t="s">
        <v>265</v>
      </c>
      <c r="K103" s="351"/>
      <c r="L103" s="351"/>
      <c r="M103" s="208"/>
      <c r="N103" s="208"/>
    </row>
    <row r="104" spans="1:14">
      <c r="A104" s="208"/>
      <c r="B104" s="354">
        <v>102</v>
      </c>
      <c r="C104" s="208" t="s">
        <v>68</v>
      </c>
      <c r="D104" s="237" t="s">
        <v>307</v>
      </c>
      <c r="E104" s="208" t="s">
        <v>230</v>
      </c>
      <c r="F104" s="208" t="s">
        <v>308</v>
      </c>
      <c r="G104" s="203"/>
      <c r="H104" s="203">
        <f t="shared" si="1"/>
        <v>102</v>
      </c>
      <c r="I104" s="208">
        <v>17100</v>
      </c>
      <c r="J104" s="208" t="s">
        <v>356</v>
      </c>
      <c r="K104" s="351">
        <v>546921254</v>
      </c>
      <c r="L104" s="351"/>
      <c r="M104" s="208"/>
      <c r="N104" s="208"/>
    </row>
    <row r="105" spans="1:14">
      <c r="A105" s="208"/>
      <c r="B105" s="354">
        <v>103</v>
      </c>
      <c r="C105" s="208" t="s">
        <v>62</v>
      </c>
      <c r="D105" s="237" t="s">
        <v>309</v>
      </c>
      <c r="E105" s="208" t="s">
        <v>310</v>
      </c>
      <c r="F105" s="208" t="s">
        <v>311</v>
      </c>
      <c r="G105" s="203"/>
      <c r="H105" s="203">
        <f t="shared" si="1"/>
        <v>103</v>
      </c>
      <c r="I105" s="208">
        <v>17100</v>
      </c>
      <c r="J105" s="208" t="s">
        <v>33</v>
      </c>
      <c r="K105" s="351"/>
      <c r="L105" s="351"/>
      <c r="M105" s="208"/>
      <c r="N105" s="208"/>
    </row>
    <row r="106" spans="1:14">
      <c r="A106" s="208"/>
      <c r="B106" s="354">
        <v>104</v>
      </c>
      <c r="C106" s="208" t="s">
        <v>137</v>
      </c>
      <c r="D106" s="237" t="s">
        <v>312</v>
      </c>
      <c r="E106" s="208" t="s">
        <v>202</v>
      </c>
      <c r="F106" s="208" t="s">
        <v>313</v>
      </c>
      <c r="G106" s="203"/>
      <c r="H106" s="203">
        <f t="shared" si="1"/>
        <v>104</v>
      </c>
      <c r="I106" s="208">
        <v>17810</v>
      </c>
      <c r="J106" s="208" t="s">
        <v>287</v>
      </c>
      <c r="K106" s="351">
        <v>546929920</v>
      </c>
      <c r="L106" s="351"/>
      <c r="M106" s="208"/>
      <c r="N106" s="208"/>
    </row>
    <row r="107" spans="1:14">
      <c r="A107" s="208"/>
      <c r="B107" s="354">
        <v>105</v>
      </c>
      <c r="C107" s="208" t="s">
        <v>62</v>
      </c>
      <c r="D107" s="237" t="s">
        <v>314</v>
      </c>
      <c r="E107" s="208"/>
      <c r="F107" s="208" t="s">
        <v>315</v>
      </c>
      <c r="G107" s="203"/>
      <c r="H107" s="203">
        <f t="shared" si="1"/>
        <v>105</v>
      </c>
      <c r="I107" s="208">
        <v>17350</v>
      </c>
      <c r="J107" s="208" t="s">
        <v>316</v>
      </c>
      <c r="K107" s="351">
        <v>664920348</v>
      </c>
      <c r="L107" s="351"/>
      <c r="M107" s="208"/>
      <c r="N107" s="208"/>
    </row>
    <row r="108" spans="1:14">
      <c r="A108" s="208"/>
      <c r="B108" s="354">
        <v>106</v>
      </c>
      <c r="C108" s="208" t="s">
        <v>317</v>
      </c>
      <c r="D108" s="237" t="s">
        <v>318</v>
      </c>
      <c r="E108" s="208" t="s">
        <v>319</v>
      </c>
      <c r="F108" s="208" t="s">
        <v>320</v>
      </c>
      <c r="G108" s="203"/>
      <c r="H108" s="203">
        <f t="shared" si="1"/>
        <v>106</v>
      </c>
      <c r="I108" s="208">
        <v>17100</v>
      </c>
      <c r="J108" s="208" t="s">
        <v>33</v>
      </c>
      <c r="K108" s="351">
        <v>546931375</v>
      </c>
      <c r="L108" s="351"/>
      <c r="M108" s="208"/>
      <c r="N108" s="208"/>
    </row>
    <row r="109" spans="1:14">
      <c r="A109" s="208"/>
      <c r="B109" s="354">
        <v>107</v>
      </c>
      <c r="C109" s="208" t="s">
        <v>68</v>
      </c>
      <c r="D109" s="237" t="s">
        <v>321</v>
      </c>
      <c r="E109" s="208" t="s">
        <v>322</v>
      </c>
      <c r="F109" s="208" t="s">
        <v>323</v>
      </c>
      <c r="G109" s="203"/>
      <c r="H109" s="203">
        <f t="shared" si="1"/>
        <v>107</v>
      </c>
      <c r="I109" s="208">
        <v>17810</v>
      </c>
      <c r="J109" s="208" t="s">
        <v>55</v>
      </c>
      <c r="K109" s="351">
        <v>546745202</v>
      </c>
      <c r="L109" s="351"/>
      <c r="M109" s="208"/>
      <c r="N109" s="208"/>
    </row>
    <row r="110" spans="1:14">
      <c r="A110" s="208"/>
      <c r="B110" s="354">
        <v>108</v>
      </c>
      <c r="C110" s="208" t="s">
        <v>68</v>
      </c>
      <c r="D110" s="237" t="s">
        <v>325</v>
      </c>
      <c r="E110" s="208" t="s">
        <v>199</v>
      </c>
      <c r="F110" s="208" t="s">
        <v>326</v>
      </c>
      <c r="G110" s="203"/>
      <c r="H110" s="203">
        <f t="shared" si="1"/>
        <v>108</v>
      </c>
      <c r="I110" s="208">
        <v>17610</v>
      </c>
      <c r="J110" s="208" t="s">
        <v>327</v>
      </c>
      <c r="K110" s="351">
        <v>614101199</v>
      </c>
      <c r="L110" s="351"/>
      <c r="M110" s="208"/>
      <c r="N110" s="208"/>
    </row>
    <row r="111" spans="1:14">
      <c r="A111" s="208"/>
      <c r="B111" s="354">
        <v>109</v>
      </c>
      <c r="C111" s="208" t="s">
        <v>68</v>
      </c>
      <c r="D111" s="237" t="s">
        <v>328</v>
      </c>
      <c r="E111" s="208" t="s">
        <v>113</v>
      </c>
      <c r="F111" s="208" t="s">
        <v>329</v>
      </c>
      <c r="G111" s="203"/>
      <c r="H111" s="203">
        <f t="shared" si="1"/>
        <v>109</v>
      </c>
      <c r="I111" s="208">
        <v>17100</v>
      </c>
      <c r="J111" s="208" t="s">
        <v>33</v>
      </c>
      <c r="K111" s="351"/>
      <c r="L111" s="351"/>
      <c r="M111" s="208"/>
      <c r="N111" s="208"/>
    </row>
    <row r="112" spans="1:14">
      <c r="A112" s="208"/>
      <c r="B112" s="354">
        <v>110</v>
      </c>
      <c r="C112" s="208" t="s">
        <v>68</v>
      </c>
      <c r="D112" s="237" t="s">
        <v>330</v>
      </c>
      <c r="E112" s="208" t="s">
        <v>331</v>
      </c>
      <c r="F112" s="208" t="s">
        <v>332</v>
      </c>
      <c r="G112" s="203"/>
      <c r="H112" s="203">
        <f t="shared" si="1"/>
        <v>110</v>
      </c>
      <c r="I112" s="208">
        <v>78420</v>
      </c>
      <c r="J112" s="208" t="s">
        <v>333</v>
      </c>
      <c r="K112" s="351">
        <v>139139527</v>
      </c>
      <c r="L112" s="351"/>
      <c r="M112" s="208"/>
      <c r="N112" s="208"/>
    </row>
    <row r="113" spans="1:14">
      <c r="A113" s="208"/>
      <c r="B113" s="354">
        <v>111</v>
      </c>
      <c r="C113" s="208" t="s">
        <v>68</v>
      </c>
      <c r="D113" s="237" t="s">
        <v>334</v>
      </c>
      <c r="E113" s="208"/>
      <c r="F113" s="208" t="s">
        <v>335</v>
      </c>
      <c r="G113" s="203"/>
      <c r="H113" s="203">
        <f t="shared" si="1"/>
        <v>111</v>
      </c>
      <c r="I113" s="208">
        <v>17100</v>
      </c>
      <c r="J113" s="208" t="s">
        <v>33</v>
      </c>
      <c r="K113" s="351">
        <v>546972302</v>
      </c>
      <c r="L113" s="351"/>
      <c r="M113" s="208"/>
      <c r="N113" s="208"/>
    </row>
    <row r="114" spans="1:14">
      <c r="A114" s="208"/>
      <c r="B114" s="354">
        <v>112</v>
      </c>
      <c r="C114" s="208" t="s">
        <v>68</v>
      </c>
      <c r="D114" s="237" t="s">
        <v>336</v>
      </c>
      <c r="E114" s="208"/>
      <c r="F114" s="208" t="s">
        <v>337</v>
      </c>
      <c r="G114" s="203"/>
      <c r="H114" s="203">
        <f t="shared" si="1"/>
        <v>112</v>
      </c>
      <c r="I114" s="208">
        <v>17810</v>
      </c>
      <c r="J114" s="208" t="s">
        <v>192</v>
      </c>
      <c r="K114" s="351"/>
      <c r="L114" s="351"/>
      <c r="M114" s="208"/>
      <c r="N114" s="208"/>
    </row>
    <row r="115" spans="1:14">
      <c r="A115" s="208"/>
      <c r="B115" s="354">
        <v>113</v>
      </c>
      <c r="C115" s="208" t="s">
        <v>68</v>
      </c>
      <c r="D115" s="237" t="s">
        <v>338</v>
      </c>
      <c r="E115" s="208" t="s">
        <v>339</v>
      </c>
      <c r="F115" s="208" t="s">
        <v>340</v>
      </c>
      <c r="G115" s="203"/>
      <c r="H115" s="203">
        <f t="shared" si="1"/>
        <v>113</v>
      </c>
      <c r="I115" s="208">
        <v>17100</v>
      </c>
      <c r="J115" s="208" t="s">
        <v>33</v>
      </c>
      <c r="K115" s="351">
        <v>546919884</v>
      </c>
      <c r="L115" s="351"/>
      <c r="M115" s="208"/>
      <c r="N115" s="208"/>
    </row>
    <row r="116" spans="1:14">
      <c r="A116" s="208"/>
      <c r="B116" s="354">
        <v>114</v>
      </c>
      <c r="C116" s="208" t="s">
        <v>20</v>
      </c>
      <c r="D116" s="237" t="s">
        <v>1194</v>
      </c>
      <c r="E116" s="208"/>
      <c r="F116" s="208" t="s">
        <v>1195</v>
      </c>
      <c r="G116" s="203"/>
      <c r="H116" s="203">
        <f t="shared" si="1"/>
        <v>114</v>
      </c>
      <c r="I116" s="208">
        <v>17100</v>
      </c>
      <c r="J116" s="208" t="s">
        <v>372</v>
      </c>
      <c r="K116" s="351"/>
      <c r="L116" s="351"/>
      <c r="M116" s="208"/>
      <c r="N116" s="208"/>
    </row>
    <row r="117" spans="1:14">
      <c r="A117" s="208"/>
      <c r="B117" s="354">
        <v>115</v>
      </c>
      <c r="C117" s="208" t="s">
        <v>68</v>
      </c>
      <c r="D117" s="237" t="s">
        <v>343</v>
      </c>
      <c r="E117" s="208" t="s">
        <v>344</v>
      </c>
      <c r="F117" s="208" t="s">
        <v>345</v>
      </c>
      <c r="G117" s="203"/>
      <c r="H117" s="203">
        <f t="shared" si="1"/>
        <v>115</v>
      </c>
      <c r="I117" s="208">
        <v>17100</v>
      </c>
      <c r="J117" s="208" t="s">
        <v>356</v>
      </c>
      <c r="K117" s="351">
        <v>546931057</v>
      </c>
      <c r="L117" s="351">
        <v>680080493</v>
      </c>
      <c r="M117" s="208"/>
      <c r="N117" s="208"/>
    </row>
    <row r="118" spans="1:14">
      <c r="A118" s="208"/>
      <c r="B118" s="354">
        <v>116</v>
      </c>
      <c r="C118" s="208" t="s">
        <v>68</v>
      </c>
      <c r="D118" s="237" t="s">
        <v>346</v>
      </c>
      <c r="E118" s="208" t="s">
        <v>347</v>
      </c>
      <c r="F118" s="208" t="s">
        <v>348</v>
      </c>
      <c r="G118" s="203"/>
      <c r="H118" s="203">
        <f t="shared" si="1"/>
        <v>116</v>
      </c>
      <c r="I118" s="208">
        <v>17100</v>
      </c>
      <c r="J118" s="208" t="s">
        <v>33</v>
      </c>
      <c r="K118" s="351">
        <v>546934862</v>
      </c>
      <c r="L118" s="351"/>
      <c r="M118" s="208"/>
      <c r="N118" s="208"/>
    </row>
    <row r="119" spans="1:14">
      <c r="A119" s="208"/>
      <c r="B119" s="354">
        <v>117</v>
      </c>
      <c r="C119" s="208" t="s">
        <v>1225</v>
      </c>
      <c r="D119" s="237" t="s">
        <v>349</v>
      </c>
      <c r="E119" s="208"/>
      <c r="F119" s="208" t="s">
        <v>350</v>
      </c>
      <c r="G119" s="203"/>
      <c r="H119" s="203">
        <f t="shared" si="1"/>
        <v>117</v>
      </c>
      <c r="I119" s="208">
        <v>17100</v>
      </c>
      <c r="J119" s="208" t="s">
        <v>104</v>
      </c>
      <c r="K119" s="351"/>
      <c r="L119" s="351"/>
      <c r="M119" s="208"/>
      <c r="N119" s="208"/>
    </row>
    <row r="120" spans="1:14">
      <c r="A120" s="208"/>
      <c r="B120" s="354">
        <v>118</v>
      </c>
      <c r="C120" s="208" t="s">
        <v>1211</v>
      </c>
      <c r="D120" s="237" t="s">
        <v>1051</v>
      </c>
      <c r="E120" s="208"/>
      <c r="F120" s="208" t="s">
        <v>972</v>
      </c>
      <c r="G120" s="203"/>
      <c r="H120" s="203">
        <f t="shared" si="1"/>
        <v>118</v>
      </c>
      <c r="I120" s="208">
        <v>16100</v>
      </c>
      <c r="J120" s="208" t="s">
        <v>178</v>
      </c>
      <c r="K120" s="351"/>
      <c r="L120" s="351"/>
      <c r="M120" s="208"/>
      <c r="N120" s="208"/>
    </row>
    <row r="121" spans="1:14">
      <c r="A121" s="208"/>
      <c r="B121" s="354">
        <v>119</v>
      </c>
      <c r="C121" s="208" t="s">
        <v>93</v>
      </c>
      <c r="D121" s="237" t="s">
        <v>358</v>
      </c>
      <c r="E121" s="208"/>
      <c r="F121" s="208" t="s">
        <v>359</v>
      </c>
      <c r="G121" s="203"/>
      <c r="H121" s="203">
        <f t="shared" si="1"/>
        <v>119</v>
      </c>
      <c r="I121" s="208">
        <v>17100</v>
      </c>
      <c r="J121" s="208" t="s">
        <v>52</v>
      </c>
      <c r="K121" s="351"/>
      <c r="L121" s="351"/>
      <c r="M121" s="208"/>
      <c r="N121" s="208"/>
    </row>
    <row r="122" spans="1:14">
      <c r="A122" s="208"/>
      <c r="B122" s="354">
        <v>120</v>
      </c>
      <c r="C122" s="208" t="s">
        <v>93</v>
      </c>
      <c r="D122" s="237" t="s">
        <v>360</v>
      </c>
      <c r="E122" s="208"/>
      <c r="F122" s="208" t="s">
        <v>361</v>
      </c>
      <c r="G122" s="203"/>
      <c r="H122" s="203">
        <f t="shared" si="1"/>
        <v>120</v>
      </c>
      <c r="I122" s="208">
        <v>17100</v>
      </c>
      <c r="J122" s="208" t="s">
        <v>33</v>
      </c>
      <c r="K122" s="351">
        <v>546922008</v>
      </c>
      <c r="L122" s="351"/>
      <c r="M122" s="208"/>
      <c r="N122" s="208"/>
    </row>
    <row r="123" spans="1:14">
      <c r="A123" s="208"/>
      <c r="B123" s="354">
        <v>121</v>
      </c>
      <c r="C123" s="208" t="s">
        <v>68</v>
      </c>
      <c r="D123" s="237" t="s">
        <v>362</v>
      </c>
      <c r="E123" s="208" t="s">
        <v>363</v>
      </c>
      <c r="F123" s="208" t="s">
        <v>364</v>
      </c>
      <c r="G123" s="203"/>
      <c r="H123" s="203">
        <f t="shared" si="1"/>
        <v>121</v>
      </c>
      <c r="I123" s="208">
        <v>17610</v>
      </c>
      <c r="J123" s="208" t="s">
        <v>52</v>
      </c>
      <c r="K123" s="351">
        <v>546925815</v>
      </c>
      <c r="L123" s="351"/>
      <c r="M123" s="208"/>
      <c r="N123" s="208"/>
    </row>
    <row r="124" spans="1:14">
      <c r="A124" s="208"/>
      <c r="B124" s="354">
        <v>122</v>
      </c>
      <c r="C124" s="208" t="s">
        <v>68</v>
      </c>
      <c r="D124" s="237" t="s">
        <v>365</v>
      </c>
      <c r="E124" s="208" t="s">
        <v>366</v>
      </c>
      <c r="F124" s="208" t="s">
        <v>367</v>
      </c>
      <c r="G124" s="203"/>
      <c r="H124" s="203">
        <f t="shared" si="1"/>
        <v>122</v>
      </c>
      <c r="I124" s="208">
        <v>17100</v>
      </c>
      <c r="J124" s="208" t="s">
        <v>33</v>
      </c>
      <c r="K124" s="351"/>
      <c r="L124" s="351"/>
      <c r="M124" s="208"/>
      <c r="N124" s="208"/>
    </row>
    <row r="125" spans="1:14">
      <c r="A125" s="208"/>
      <c r="B125" s="354">
        <v>123</v>
      </c>
      <c r="C125" s="208" t="s">
        <v>68</v>
      </c>
      <c r="D125" s="237" t="s">
        <v>368</v>
      </c>
      <c r="E125" s="208" t="s">
        <v>199</v>
      </c>
      <c r="F125" s="208" t="s">
        <v>369</v>
      </c>
      <c r="G125" s="203"/>
      <c r="H125" s="203">
        <f t="shared" si="1"/>
        <v>123</v>
      </c>
      <c r="I125" s="208">
        <v>17610</v>
      </c>
      <c r="J125" s="208" t="s">
        <v>52</v>
      </c>
      <c r="K125" s="351"/>
      <c r="L125" s="351">
        <v>630927644</v>
      </c>
      <c r="M125" s="208"/>
      <c r="N125" s="208"/>
    </row>
    <row r="126" spans="1:14">
      <c r="A126" s="208"/>
      <c r="B126" s="354">
        <v>124</v>
      </c>
      <c r="C126" s="208" t="s">
        <v>68</v>
      </c>
      <c r="D126" s="237" t="s">
        <v>370</v>
      </c>
      <c r="E126" s="208" t="s">
        <v>159</v>
      </c>
      <c r="F126" s="208" t="s">
        <v>371</v>
      </c>
      <c r="G126" s="203"/>
      <c r="H126" s="203">
        <f t="shared" si="1"/>
        <v>124</v>
      </c>
      <c r="I126" s="208">
        <v>17100</v>
      </c>
      <c r="J126" s="208" t="s">
        <v>372</v>
      </c>
      <c r="K126" s="351">
        <v>546935443</v>
      </c>
      <c r="L126" s="351">
        <v>603863349</v>
      </c>
      <c r="M126" s="208"/>
      <c r="N126" s="208"/>
    </row>
    <row r="127" spans="1:14">
      <c r="A127" s="208"/>
      <c r="B127" s="354">
        <v>125</v>
      </c>
      <c r="C127" s="208" t="s">
        <v>68</v>
      </c>
      <c r="D127" s="237" t="s">
        <v>373</v>
      </c>
      <c r="E127" s="208" t="s">
        <v>374</v>
      </c>
      <c r="F127" s="208" t="s">
        <v>375</v>
      </c>
      <c r="G127" s="203"/>
      <c r="H127" s="203">
        <f t="shared" si="1"/>
        <v>125</v>
      </c>
      <c r="I127" s="208">
        <v>17100</v>
      </c>
      <c r="J127" s="208" t="s">
        <v>188</v>
      </c>
      <c r="K127" s="351"/>
      <c r="L127" s="351"/>
      <c r="M127" s="208"/>
      <c r="N127" s="208"/>
    </row>
    <row r="128" spans="1:14">
      <c r="A128" s="208"/>
      <c r="B128" s="354">
        <v>126</v>
      </c>
      <c r="C128" s="208" t="s">
        <v>61</v>
      </c>
      <c r="D128" s="237" t="s">
        <v>377</v>
      </c>
      <c r="E128" s="208"/>
      <c r="F128" s="208" t="s">
        <v>378</v>
      </c>
      <c r="G128" s="203"/>
      <c r="H128" s="203">
        <f t="shared" si="1"/>
        <v>126</v>
      </c>
      <c r="I128" s="208">
        <v>17610</v>
      </c>
      <c r="J128" s="208" t="s">
        <v>379</v>
      </c>
      <c r="K128" s="351"/>
      <c r="L128" s="351"/>
      <c r="M128" s="208"/>
      <c r="N128" s="208"/>
    </row>
    <row r="129" spans="1:14">
      <c r="A129" s="208"/>
      <c r="B129" s="354">
        <v>127</v>
      </c>
      <c r="C129" s="208" t="s">
        <v>62</v>
      </c>
      <c r="D129" s="237" t="s">
        <v>380</v>
      </c>
      <c r="E129" s="208"/>
      <c r="F129" s="208" t="s">
        <v>381</v>
      </c>
      <c r="G129" s="203"/>
      <c r="H129" s="203">
        <f t="shared" si="1"/>
        <v>127</v>
      </c>
      <c r="I129" s="208">
        <v>17100</v>
      </c>
      <c r="J129" s="208" t="s">
        <v>33</v>
      </c>
      <c r="K129" s="351"/>
      <c r="L129" s="351"/>
      <c r="M129" s="208"/>
      <c r="N129" s="208"/>
    </row>
    <row r="130" spans="1:14">
      <c r="A130" s="208"/>
      <c r="B130" s="354">
        <v>128</v>
      </c>
      <c r="C130" s="208" t="s">
        <v>68</v>
      </c>
      <c r="D130" s="237" t="s">
        <v>382</v>
      </c>
      <c r="E130" s="208"/>
      <c r="F130" s="208" t="s">
        <v>383</v>
      </c>
      <c r="G130" s="203"/>
      <c r="H130" s="203">
        <f t="shared" si="1"/>
        <v>128</v>
      </c>
      <c r="I130" s="208">
        <v>17100</v>
      </c>
      <c r="J130" s="208" t="s">
        <v>33</v>
      </c>
      <c r="K130" s="351"/>
      <c r="L130" s="351"/>
      <c r="M130" s="208"/>
      <c r="N130" s="208"/>
    </row>
    <row r="131" spans="1:14">
      <c r="A131" s="208"/>
      <c r="B131" s="354">
        <v>129</v>
      </c>
      <c r="C131" s="208"/>
      <c r="D131" s="237" t="s">
        <v>304</v>
      </c>
      <c r="E131" s="208" t="s">
        <v>384</v>
      </c>
      <c r="F131" s="208" t="s">
        <v>46</v>
      </c>
      <c r="G131" s="203"/>
      <c r="H131" s="203">
        <f t="shared" si="1"/>
        <v>129</v>
      </c>
      <c r="I131" s="208">
        <v>17770</v>
      </c>
      <c r="J131" s="208" t="s">
        <v>385</v>
      </c>
      <c r="K131" s="351"/>
      <c r="L131" s="351"/>
      <c r="M131" s="208"/>
      <c r="N131" s="208"/>
    </row>
    <row r="132" spans="1:14">
      <c r="A132" s="208"/>
      <c r="B132" s="354">
        <v>130</v>
      </c>
      <c r="C132" s="208" t="s">
        <v>93</v>
      </c>
      <c r="D132" s="237" t="s">
        <v>386</v>
      </c>
      <c r="E132" s="208" t="s">
        <v>344</v>
      </c>
      <c r="F132" s="208" t="s">
        <v>387</v>
      </c>
      <c r="G132" s="203"/>
      <c r="H132" s="203">
        <f t="shared" ref="H132:H195" si="2">B132</f>
        <v>130</v>
      </c>
      <c r="I132" s="208">
        <v>17800</v>
      </c>
      <c r="J132" s="208" t="s">
        <v>388</v>
      </c>
      <c r="K132" s="351">
        <v>546964703</v>
      </c>
      <c r="L132" s="351"/>
      <c r="M132" s="208"/>
      <c r="N132" s="208"/>
    </row>
    <row r="133" spans="1:14">
      <c r="A133" s="208"/>
      <c r="B133" s="354">
        <v>131</v>
      </c>
      <c r="C133" s="208" t="s">
        <v>62</v>
      </c>
      <c r="D133" s="237" t="s">
        <v>390</v>
      </c>
      <c r="E133" s="208"/>
      <c r="F133" s="208" t="s">
        <v>391</v>
      </c>
      <c r="G133" s="203"/>
      <c r="H133" s="203">
        <f t="shared" si="2"/>
        <v>131</v>
      </c>
      <c r="I133" s="208">
        <v>17100</v>
      </c>
      <c r="J133" s="208" t="s">
        <v>33</v>
      </c>
      <c r="K133" s="351"/>
      <c r="L133" s="351"/>
      <c r="M133" s="208"/>
      <c r="N133" s="208"/>
    </row>
    <row r="134" spans="1:14">
      <c r="A134" s="208"/>
      <c r="B134" s="354">
        <v>132</v>
      </c>
      <c r="C134" s="208" t="s">
        <v>393</v>
      </c>
      <c r="D134" s="237" t="s">
        <v>392</v>
      </c>
      <c r="E134" s="208"/>
      <c r="F134" s="208" t="s">
        <v>1139</v>
      </c>
      <c r="G134" s="203"/>
      <c r="H134" s="203">
        <f t="shared" si="2"/>
        <v>132</v>
      </c>
      <c r="I134" s="208">
        <v>17460</v>
      </c>
      <c r="J134" s="208" t="s">
        <v>1140</v>
      </c>
      <c r="K134" s="351">
        <v>646603767</v>
      </c>
      <c r="L134" s="351"/>
      <c r="M134" s="208"/>
      <c r="N134" s="208"/>
    </row>
    <row r="135" spans="1:14">
      <c r="A135" s="208"/>
      <c r="B135" s="354">
        <v>133</v>
      </c>
      <c r="C135" s="208" t="s">
        <v>114</v>
      </c>
      <c r="D135" s="237" t="s">
        <v>394</v>
      </c>
      <c r="E135" s="208" t="s">
        <v>395</v>
      </c>
      <c r="F135" s="208" t="s">
        <v>396</v>
      </c>
      <c r="G135" s="203"/>
      <c r="H135" s="203">
        <f t="shared" si="2"/>
        <v>133</v>
      </c>
      <c r="I135" s="208">
        <v>17100</v>
      </c>
      <c r="J135" s="208" t="s">
        <v>188</v>
      </c>
      <c r="K135" s="351"/>
      <c r="L135" s="351"/>
      <c r="M135" s="208"/>
      <c r="N135" s="208"/>
    </row>
    <row r="136" spans="1:14">
      <c r="A136" s="208"/>
      <c r="B136" s="354">
        <v>134</v>
      </c>
      <c r="C136" s="208" t="s">
        <v>62</v>
      </c>
      <c r="D136" s="237" t="s">
        <v>397</v>
      </c>
      <c r="E136" s="208"/>
      <c r="F136" s="208" t="s">
        <v>398</v>
      </c>
      <c r="G136" s="203"/>
      <c r="H136" s="203">
        <f t="shared" si="2"/>
        <v>134</v>
      </c>
      <c r="I136" s="208">
        <v>17100</v>
      </c>
      <c r="J136" s="208" t="s">
        <v>356</v>
      </c>
      <c r="K136" s="351"/>
      <c r="L136" s="351"/>
      <c r="M136" s="208"/>
      <c r="N136" s="208"/>
    </row>
    <row r="137" spans="1:14">
      <c r="A137" s="208"/>
      <c r="B137" s="354">
        <v>135</v>
      </c>
      <c r="C137" s="208"/>
      <c r="D137" s="237" t="s">
        <v>399</v>
      </c>
      <c r="E137" s="208"/>
      <c r="F137" s="208" t="s">
        <v>400</v>
      </c>
      <c r="G137" s="203"/>
      <c r="H137" s="203">
        <f t="shared" si="2"/>
        <v>135</v>
      </c>
      <c r="I137" s="208">
        <v>17100</v>
      </c>
      <c r="J137" s="208" t="s">
        <v>401</v>
      </c>
      <c r="K137" s="351"/>
      <c r="L137" s="351"/>
      <c r="M137" s="208"/>
      <c r="N137" s="208"/>
    </row>
    <row r="138" spans="1:14">
      <c r="A138" s="208"/>
      <c r="B138" s="354">
        <v>136</v>
      </c>
      <c r="C138" s="208" t="s">
        <v>114</v>
      </c>
      <c r="D138" s="237" t="s">
        <v>402</v>
      </c>
      <c r="E138" s="208" t="s">
        <v>190</v>
      </c>
      <c r="F138" s="208" t="s">
        <v>403</v>
      </c>
      <c r="G138" s="203"/>
      <c r="H138" s="203">
        <f t="shared" si="2"/>
        <v>136</v>
      </c>
      <c r="I138" s="208">
        <v>17610</v>
      </c>
      <c r="J138" s="208" t="s">
        <v>52</v>
      </c>
      <c r="K138" s="351"/>
      <c r="L138" s="351"/>
      <c r="M138" s="208"/>
      <c r="N138" s="208"/>
    </row>
    <row r="139" spans="1:14">
      <c r="A139" s="208"/>
      <c r="B139" s="354">
        <v>137</v>
      </c>
      <c r="C139" s="208" t="s">
        <v>68</v>
      </c>
      <c r="D139" s="237" t="s">
        <v>404</v>
      </c>
      <c r="E139" s="208"/>
      <c r="F139" s="208" t="s">
        <v>405</v>
      </c>
      <c r="G139" s="203"/>
      <c r="H139" s="203">
        <f t="shared" si="2"/>
        <v>137</v>
      </c>
      <c r="I139" s="208">
        <v>17100</v>
      </c>
      <c r="J139" s="208" t="s">
        <v>33</v>
      </c>
      <c r="K139" s="351"/>
      <c r="L139" s="351"/>
      <c r="M139" s="208"/>
      <c r="N139" s="208"/>
    </row>
    <row r="140" spans="1:14">
      <c r="A140" s="208"/>
      <c r="B140" s="354">
        <v>138</v>
      </c>
      <c r="C140" s="208" t="s">
        <v>68</v>
      </c>
      <c r="D140" s="237" t="s">
        <v>406</v>
      </c>
      <c r="E140" s="208" t="s">
        <v>230</v>
      </c>
      <c r="F140" s="208" t="s">
        <v>407</v>
      </c>
      <c r="G140" s="203"/>
      <c r="H140" s="203">
        <f t="shared" si="2"/>
        <v>138</v>
      </c>
      <c r="I140" s="208">
        <v>17100</v>
      </c>
      <c r="J140" s="208" t="s">
        <v>33</v>
      </c>
      <c r="K140" s="351"/>
      <c r="L140" s="351"/>
      <c r="M140" s="208"/>
      <c r="N140" s="208"/>
    </row>
    <row r="141" spans="1:14">
      <c r="A141" s="208"/>
      <c r="B141" s="354">
        <v>139</v>
      </c>
      <c r="C141" s="208" t="s">
        <v>68</v>
      </c>
      <c r="D141" s="237" t="s">
        <v>408</v>
      </c>
      <c r="E141" s="208" t="s">
        <v>410</v>
      </c>
      <c r="F141" s="208" t="s">
        <v>409</v>
      </c>
      <c r="G141" s="203"/>
      <c r="H141" s="203">
        <f t="shared" si="2"/>
        <v>139</v>
      </c>
      <c r="I141" s="208">
        <v>17100</v>
      </c>
      <c r="J141" s="208" t="s">
        <v>33</v>
      </c>
      <c r="K141" s="351"/>
      <c r="L141" s="351"/>
      <c r="M141" s="208"/>
      <c r="N141" s="208"/>
    </row>
    <row r="142" spans="1:14">
      <c r="A142" s="208"/>
      <c r="B142" s="354">
        <v>140</v>
      </c>
      <c r="C142" s="208" t="s">
        <v>62</v>
      </c>
      <c r="D142" s="237" t="s">
        <v>411</v>
      </c>
      <c r="E142" s="208"/>
      <c r="F142" s="208" t="s">
        <v>412</v>
      </c>
      <c r="G142" s="203"/>
      <c r="H142" s="203">
        <f t="shared" si="2"/>
        <v>140</v>
      </c>
      <c r="I142" s="208">
        <v>17100</v>
      </c>
      <c r="J142" s="208" t="s">
        <v>33</v>
      </c>
      <c r="K142" s="351">
        <v>546936142</v>
      </c>
      <c r="L142" s="351"/>
      <c r="M142" s="208"/>
      <c r="N142" s="208"/>
    </row>
    <row r="143" spans="1:14">
      <c r="A143" s="208"/>
      <c r="B143" s="354">
        <v>141</v>
      </c>
      <c r="C143" s="208" t="s">
        <v>68</v>
      </c>
      <c r="D143" s="237" t="s">
        <v>256</v>
      </c>
      <c r="E143" s="208" t="s">
        <v>413</v>
      </c>
      <c r="F143" s="208" t="s">
        <v>414</v>
      </c>
      <c r="G143" s="203"/>
      <c r="H143" s="203">
        <f t="shared" si="2"/>
        <v>141</v>
      </c>
      <c r="I143" s="208">
        <v>17610</v>
      </c>
      <c r="J143" s="208" t="s">
        <v>52</v>
      </c>
      <c r="K143" s="351"/>
      <c r="L143" s="351"/>
      <c r="M143" s="208"/>
      <c r="N143" s="208"/>
    </row>
    <row r="144" spans="1:14">
      <c r="A144" s="208"/>
      <c r="B144" s="354">
        <v>142</v>
      </c>
      <c r="C144" s="208" t="s">
        <v>62</v>
      </c>
      <c r="D144" s="237" t="s">
        <v>415</v>
      </c>
      <c r="E144" s="208" t="s">
        <v>82</v>
      </c>
      <c r="F144" s="208" t="s">
        <v>416</v>
      </c>
      <c r="G144" s="203"/>
      <c r="H144" s="203">
        <f t="shared" si="2"/>
        <v>142</v>
      </c>
      <c r="I144" s="208">
        <v>17100</v>
      </c>
      <c r="J144" s="208" t="s">
        <v>33</v>
      </c>
      <c r="K144" s="351"/>
      <c r="L144" s="351"/>
      <c r="M144" s="208"/>
      <c r="N144" s="208"/>
    </row>
    <row r="145" spans="1:14">
      <c r="A145" s="208"/>
      <c r="B145" s="354">
        <v>143</v>
      </c>
      <c r="C145" s="208" t="s">
        <v>417</v>
      </c>
      <c r="D145" s="237" t="s">
        <v>21</v>
      </c>
      <c r="E145" s="208" t="s">
        <v>413</v>
      </c>
      <c r="F145" s="208"/>
      <c r="G145" s="203"/>
      <c r="H145" s="203">
        <f t="shared" si="2"/>
        <v>143</v>
      </c>
      <c r="I145" s="208">
        <v>17800</v>
      </c>
      <c r="J145" s="208" t="s">
        <v>418</v>
      </c>
      <c r="K145" s="351"/>
      <c r="L145" s="351"/>
      <c r="M145" s="208"/>
      <c r="N145" s="208"/>
    </row>
    <row r="146" spans="1:14">
      <c r="A146" s="208"/>
      <c r="B146" s="354">
        <v>144</v>
      </c>
      <c r="C146" s="208" t="s">
        <v>16</v>
      </c>
      <c r="D146" s="237" t="s">
        <v>419</v>
      </c>
      <c r="E146" s="208" t="s">
        <v>420</v>
      </c>
      <c r="F146" s="208" t="s">
        <v>421</v>
      </c>
      <c r="G146" s="203"/>
      <c r="H146" s="203">
        <f t="shared" si="2"/>
        <v>144</v>
      </c>
      <c r="I146" s="208">
        <v>17600</v>
      </c>
      <c r="J146" s="208" t="s">
        <v>422</v>
      </c>
      <c r="K146" s="351"/>
      <c r="L146" s="351"/>
      <c r="M146" s="208"/>
      <c r="N146" s="208"/>
    </row>
    <row r="147" spans="1:14">
      <c r="A147" s="208"/>
      <c r="B147" s="354">
        <v>145</v>
      </c>
      <c r="C147" s="208" t="s">
        <v>68</v>
      </c>
      <c r="D147" s="237" t="s">
        <v>423</v>
      </c>
      <c r="E147" s="208"/>
      <c r="F147" s="208" t="s">
        <v>444</v>
      </c>
      <c r="G147" s="203"/>
      <c r="H147" s="203">
        <f t="shared" si="2"/>
        <v>145</v>
      </c>
      <c r="I147" s="208">
        <v>17610</v>
      </c>
      <c r="J147" s="208" t="s">
        <v>154</v>
      </c>
      <c r="K147" s="351"/>
      <c r="L147" s="351"/>
      <c r="M147" s="208"/>
      <c r="N147" s="208"/>
    </row>
    <row r="148" spans="1:14">
      <c r="A148" s="208"/>
      <c r="B148" s="354">
        <v>146</v>
      </c>
      <c r="C148" s="208" t="s">
        <v>114</v>
      </c>
      <c r="D148" s="237" t="s">
        <v>424</v>
      </c>
      <c r="E148" s="208"/>
      <c r="F148" s="208"/>
      <c r="G148" s="203"/>
      <c r="H148" s="203">
        <f t="shared" si="2"/>
        <v>146</v>
      </c>
      <c r="I148" s="208">
        <v>17100</v>
      </c>
      <c r="J148" s="208" t="s">
        <v>33</v>
      </c>
      <c r="K148" s="351"/>
      <c r="L148" s="351"/>
      <c r="M148" s="208"/>
      <c r="N148" s="208"/>
    </row>
    <row r="149" spans="1:14">
      <c r="A149" s="208"/>
      <c r="B149" s="354">
        <v>147</v>
      </c>
      <c r="C149" s="208" t="s">
        <v>16</v>
      </c>
      <c r="D149" s="237" t="s">
        <v>425</v>
      </c>
      <c r="E149" s="208"/>
      <c r="F149" s="208" t="s">
        <v>426</v>
      </c>
      <c r="G149" s="203"/>
      <c r="H149" s="203">
        <f t="shared" si="2"/>
        <v>147</v>
      </c>
      <c r="I149" s="208">
        <v>17100</v>
      </c>
      <c r="J149" s="208" t="s">
        <v>188</v>
      </c>
      <c r="K149" s="351"/>
      <c r="L149" s="351"/>
      <c r="M149" s="208"/>
      <c r="N149" s="208"/>
    </row>
    <row r="150" spans="1:14">
      <c r="A150" s="208"/>
      <c r="B150" s="354">
        <v>148</v>
      </c>
      <c r="C150" s="208" t="s">
        <v>427</v>
      </c>
      <c r="D150" s="237" t="s">
        <v>428</v>
      </c>
      <c r="E150" s="208"/>
      <c r="F150" s="208" t="s">
        <v>429</v>
      </c>
      <c r="G150" s="203"/>
      <c r="H150" s="203">
        <f t="shared" si="2"/>
        <v>148</v>
      </c>
      <c r="I150" s="208">
        <v>17610</v>
      </c>
      <c r="J150" s="208" t="s">
        <v>379</v>
      </c>
      <c r="K150" s="351"/>
      <c r="L150" s="351"/>
      <c r="M150" s="208"/>
      <c r="N150" s="208"/>
    </row>
    <row r="151" spans="1:14">
      <c r="A151" s="208"/>
      <c r="B151" s="354">
        <v>149</v>
      </c>
      <c r="C151" s="208" t="s">
        <v>16</v>
      </c>
      <c r="D151" s="237" t="s">
        <v>430</v>
      </c>
      <c r="E151" s="208"/>
      <c r="F151" s="208" t="s">
        <v>431</v>
      </c>
      <c r="G151" s="203"/>
      <c r="H151" s="203">
        <f t="shared" si="2"/>
        <v>149</v>
      </c>
      <c r="I151" s="208">
        <v>17100</v>
      </c>
      <c r="J151" s="208" t="s">
        <v>265</v>
      </c>
      <c r="K151" s="351"/>
      <c r="L151" s="351"/>
      <c r="M151" s="208"/>
      <c r="N151" s="208"/>
    </row>
    <row r="152" spans="1:14">
      <c r="A152" s="208"/>
      <c r="B152" s="354">
        <v>150</v>
      </c>
      <c r="C152" s="208" t="s">
        <v>68</v>
      </c>
      <c r="D152" s="237" t="s">
        <v>432</v>
      </c>
      <c r="E152" s="208" t="s">
        <v>433</v>
      </c>
      <c r="F152" s="208" t="s">
        <v>434</v>
      </c>
      <c r="G152" s="203"/>
      <c r="H152" s="203">
        <f t="shared" si="2"/>
        <v>150</v>
      </c>
      <c r="I152" s="208">
        <v>17100</v>
      </c>
      <c r="J152" s="208" t="s">
        <v>52</v>
      </c>
      <c r="K152" s="351"/>
      <c r="L152" s="351"/>
      <c r="M152" s="208"/>
      <c r="N152" s="208"/>
    </row>
    <row r="153" spans="1:14">
      <c r="A153" s="208"/>
      <c r="B153" s="354">
        <v>151</v>
      </c>
      <c r="C153" s="208" t="s">
        <v>68</v>
      </c>
      <c r="D153" s="237" t="s">
        <v>435</v>
      </c>
      <c r="E153" s="208" t="s">
        <v>433</v>
      </c>
      <c r="F153" s="208" t="s">
        <v>436</v>
      </c>
      <c r="G153" s="203"/>
      <c r="H153" s="203">
        <f t="shared" si="2"/>
        <v>151</v>
      </c>
      <c r="I153" s="208">
        <v>17100</v>
      </c>
      <c r="J153" s="208" t="s">
        <v>104</v>
      </c>
      <c r="K153" s="351"/>
      <c r="L153" s="351"/>
      <c r="M153" s="208"/>
      <c r="N153" s="208"/>
    </row>
    <row r="154" spans="1:14">
      <c r="A154" s="208"/>
      <c r="B154" s="354">
        <v>152</v>
      </c>
      <c r="C154" s="208" t="s">
        <v>68</v>
      </c>
      <c r="D154" s="237" t="s">
        <v>437</v>
      </c>
      <c r="E154" s="208" t="s">
        <v>57</v>
      </c>
      <c r="F154" s="208" t="s">
        <v>438</v>
      </c>
      <c r="G154" s="203"/>
      <c r="H154" s="203">
        <f t="shared" si="2"/>
        <v>152</v>
      </c>
      <c r="I154" s="208">
        <v>17100</v>
      </c>
      <c r="J154" s="208" t="s">
        <v>33</v>
      </c>
      <c r="K154" s="351"/>
      <c r="L154" s="351"/>
      <c r="M154" s="208"/>
      <c r="N154" s="208"/>
    </row>
    <row r="155" spans="1:14">
      <c r="A155" s="208"/>
      <c r="B155" s="354">
        <v>153</v>
      </c>
      <c r="C155" s="208" t="s">
        <v>68</v>
      </c>
      <c r="D155" s="237" t="s">
        <v>439</v>
      </c>
      <c r="E155" s="208" t="s">
        <v>125</v>
      </c>
      <c r="F155" s="208" t="s">
        <v>440</v>
      </c>
      <c r="G155" s="203"/>
      <c r="H155" s="203">
        <f t="shared" si="2"/>
        <v>153</v>
      </c>
      <c r="I155" s="208">
        <v>17610</v>
      </c>
      <c r="J155" s="208" t="s">
        <v>154</v>
      </c>
      <c r="K155" s="351"/>
      <c r="L155" s="351"/>
      <c r="M155" s="208"/>
      <c r="N155" s="208"/>
    </row>
    <row r="156" spans="1:14">
      <c r="A156" s="208"/>
      <c r="B156" s="354">
        <v>154</v>
      </c>
      <c r="C156" s="208" t="s">
        <v>68</v>
      </c>
      <c r="D156" s="237" t="s">
        <v>441</v>
      </c>
      <c r="E156" s="208"/>
      <c r="F156" s="208" t="s">
        <v>442</v>
      </c>
      <c r="G156" s="203"/>
      <c r="H156" s="203">
        <f t="shared" si="2"/>
        <v>154</v>
      </c>
      <c r="I156" s="208">
        <v>17110</v>
      </c>
      <c r="J156" s="208" t="s">
        <v>443</v>
      </c>
      <c r="K156" s="351"/>
      <c r="L156" s="351"/>
      <c r="M156" s="208"/>
      <c r="N156" s="208"/>
    </row>
    <row r="157" spans="1:14">
      <c r="A157" s="208"/>
      <c r="B157" s="354">
        <v>155</v>
      </c>
      <c r="C157" s="208" t="s">
        <v>445</v>
      </c>
      <c r="D157" s="237" t="s">
        <v>446</v>
      </c>
      <c r="E157" s="208"/>
      <c r="F157" s="208" t="s">
        <v>1527</v>
      </c>
      <c r="G157" s="203"/>
      <c r="H157" s="203">
        <f t="shared" si="2"/>
        <v>155</v>
      </c>
      <c r="I157" s="208">
        <v>17100</v>
      </c>
      <c r="J157" s="208" t="s">
        <v>356</v>
      </c>
      <c r="K157" s="351">
        <v>614812296</v>
      </c>
      <c r="L157" s="351"/>
      <c r="M157" s="208"/>
      <c r="N157" s="208"/>
    </row>
    <row r="158" spans="1:14">
      <c r="A158" s="208"/>
      <c r="B158" s="354">
        <v>156</v>
      </c>
      <c r="C158" s="208" t="s">
        <v>68</v>
      </c>
      <c r="D158" s="237" t="s">
        <v>448</v>
      </c>
      <c r="E158" s="208"/>
      <c r="F158" s="208" t="s">
        <v>449</v>
      </c>
      <c r="G158" s="203"/>
      <c r="H158" s="203">
        <f t="shared" si="2"/>
        <v>156</v>
      </c>
      <c r="I158" s="208">
        <v>17610</v>
      </c>
      <c r="J158" s="208" t="s">
        <v>379</v>
      </c>
      <c r="K158" s="351"/>
      <c r="L158" s="351"/>
      <c r="M158" s="208"/>
      <c r="N158" s="208"/>
    </row>
    <row r="159" spans="1:14">
      <c r="A159" s="208"/>
      <c r="B159" s="354">
        <v>157</v>
      </c>
      <c r="C159" s="208"/>
      <c r="D159" s="237" t="s">
        <v>164</v>
      </c>
      <c r="E159" s="208"/>
      <c r="F159" s="208" t="s">
        <v>450</v>
      </c>
      <c r="G159" s="203"/>
      <c r="H159" s="203">
        <f t="shared" si="2"/>
        <v>157</v>
      </c>
      <c r="I159" s="208">
        <v>17300</v>
      </c>
      <c r="J159" s="208" t="s">
        <v>298</v>
      </c>
      <c r="K159" s="351"/>
      <c r="L159" s="351"/>
      <c r="M159" s="208"/>
      <c r="N159" s="208"/>
    </row>
    <row r="160" spans="1:14">
      <c r="A160" s="208"/>
      <c r="B160" s="354">
        <v>158</v>
      </c>
      <c r="C160" s="208" t="s">
        <v>68</v>
      </c>
      <c r="D160" s="237" t="s">
        <v>56</v>
      </c>
      <c r="E160" s="208" t="s">
        <v>451</v>
      </c>
      <c r="F160" s="208" t="s">
        <v>258</v>
      </c>
      <c r="G160" s="203"/>
      <c r="H160" s="203">
        <f t="shared" si="2"/>
        <v>158</v>
      </c>
      <c r="I160" s="208">
        <v>17610</v>
      </c>
      <c r="J160" s="208" t="s">
        <v>52</v>
      </c>
      <c r="K160" s="351"/>
      <c r="L160" s="351"/>
      <c r="M160" s="208"/>
      <c r="N160" s="208"/>
    </row>
    <row r="161" spans="1:14">
      <c r="A161" s="208"/>
      <c r="B161" s="354">
        <v>159</v>
      </c>
      <c r="C161" s="208" t="s">
        <v>68</v>
      </c>
      <c r="D161" s="237" t="s">
        <v>452</v>
      </c>
      <c r="E161" s="208"/>
      <c r="F161" s="208" t="s">
        <v>453</v>
      </c>
      <c r="G161" s="203"/>
      <c r="H161" s="203">
        <f t="shared" si="2"/>
        <v>159</v>
      </c>
      <c r="I161" s="208">
        <v>93220</v>
      </c>
      <c r="J161" s="208" t="s">
        <v>454</v>
      </c>
      <c r="K161" s="351" t="s">
        <v>463</v>
      </c>
      <c r="L161" s="351"/>
      <c r="M161" s="208"/>
      <c r="N161" s="208"/>
    </row>
    <row r="162" spans="1:14">
      <c r="A162" s="208"/>
      <c r="B162" s="354">
        <v>160</v>
      </c>
      <c r="C162" s="208" t="s">
        <v>93</v>
      </c>
      <c r="D162" s="237" t="s">
        <v>455</v>
      </c>
      <c r="E162" s="208"/>
      <c r="F162" s="208" t="s">
        <v>456</v>
      </c>
      <c r="G162" s="203"/>
      <c r="H162" s="203">
        <f t="shared" si="2"/>
        <v>160</v>
      </c>
      <c r="I162" s="208">
        <v>17100</v>
      </c>
      <c r="J162" s="208" t="s">
        <v>356</v>
      </c>
      <c r="K162" s="351"/>
      <c r="L162" s="351"/>
      <c r="M162" s="208"/>
      <c r="N162" s="208"/>
    </row>
    <row r="163" spans="1:14">
      <c r="A163" s="208"/>
      <c r="B163" s="354">
        <v>161</v>
      </c>
      <c r="C163" s="208" t="s">
        <v>68</v>
      </c>
      <c r="D163" s="237" t="s">
        <v>457</v>
      </c>
      <c r="E163" s="208" t="s">
        <v>458</v>
      </c>
      <c r="F163" s="208" t="s">
        <v>459</v>
      </c>
      <c r="G163" s="203"/>
      <c r="H163" s="203">
        <f t="shared" si="2"/>
        <v>161</v>
      </c>
      <c r="I163" s="208">
        <v>16100</v>
      </c>
      <c r="J163" s="208" t="s">
        <v>178</v>
      </c>
      <c r="K163" s="351"/>
      <c r="L163" s="351"/>
      <c r="M163" s="208"/>
      <c r="N163" s="208"/>
    </row>
    <row r="164" spans="1:14">
      <c r="A164" s="208"/>
      <c r="B164" s="354">
        <v>162</v>
      </c>
      <c r="C164" s="208" t="s">
        <v>460</v>
      </c>
      <c r="D164" s="237" t="s">
        <v>461</v>
      </c>
      <c r="E164" s="208"/>
      <c r="F164" s="208" t="s">
        <v>462</v>
      </c>
      <c r="G164" s="203"/>
      <c r="H164" s="203">
        <f t="shared" si="2"/>
        <v>162</v>
      </c>
      <c r="I164" s="208">
        <v>17100</v>
      </c>
      <c r="J164" s="208" t="s">
        <v>188</v>
      </c>
      <c r="K164" s="351">
        <v>546908303</v>
      </c>
      <c r="L164" s="351">
        <v>546921818</v>
      </c>
      <c r="M164" s="208"/>
      <c r="N164" s="208"/>
    </row>
    <row r="165" spans="1:14">
      <c r="A165" s="208"/>
      <c r="B165" s="354">
        <v>163</v>
      </c>
      <c r="C165" s="208" t="s">
        <v>68</v>
      </c>
      <c r="D165" s="237" t="s">
        <v>464</v>
      </c>
      <c r="E165" s="208" t="s">
        <v>465</v>
      </c>
      <c r="F165" s="208" t="s">
        <v>466</v>
      </c>
      <c r="G165" s="203"/>
      <c r="H165" s="203">
        <f t="shared" si="2"/>
        <v>163</v>
      </c>
      <c r="I165" s="208">
        <v>17100</v>
      </c>
      <c r="J165" s="208" t="s">
        <v>188</v>
      </c>
      <c r="K165" s="351"/>
      <c r="L165" s="351"/>
      <c r="M165" s="208"/>
      <c r="N165" s="208"/>
    </row>
    <row r="166" spans="1:14">
      <c r="A166" s="208"/>
      <c r="B166" s="354">
        <v>164</v>
      </c>
      <c r="C166" s="208" t="s">
        <v>93</v>
      </c>
      <c r="D166" s="237" t="s">
        <v>467</v>
      </c>
      <c r="E166" s="208" t="s">
        <v>468</v>
      </c>
      <c r="F166" s="208" t="s">
        <v>469</v>
      </c>
      <c r="G166" s="203"/>
      <c r="H166" s="203">
        <f t="shared" si="2"/>
        <v>164</v>
      </c>
      <c r="I166" s="208">
        <v>17610</v>
      </c>
      <c r="J166" s="208" t="s">
        <v>52</v>
      </c>
      <c r="K166" s="351"/>
      <c r="L166" s="351"/>
      <c r="M166" s="208"/>
      <c r="N166" s="208"/>
    </row>
    <row r="167" spans="1:14">
      <c r="A167" s="208"/>
      <c r="B167" s="354">
        <v>165</v>
      </c>
      <c r="C167" s="208" t="s">
        <v>470</v>
      </c>
      <c r="D167" s="237" t="s">
        <v>471</v>
      </c>
      <c r="E167" s="208"/>
      <c r="F167" s="208" t="s">
        <v>472</v>
      </c>
      <c r="G167" s="203"/>
      <c r="H167" s="203">
        <f t="shared" si="2"/>
        <v>165</v>
      </c>
      <c r="I167" s="208">
        <v>17000</v>
      </c>
      <c r="J167" s="208" t="s">
        <v>255</v>
      </c>
      <c r="K167" s="351"/>
      <c r="L167" s="351"/>
      <c r="M167" s="208"/>
      <c r="N167" s="208"/>
    </row>
    <row r="168" spans="1:14">
      <c r="A168" s="208"/>
      <c r="B168" s="354">
        <v>166</v>
      </c>
      <c r="C168" s="208" t="s">
        <v>61</v>
      </c>
      <c r="D168" s="237" t="s">
        <v>473</v>
      </c>
      <c r="E168" s="208"/>
      <c r="F168" s="208" t="s">
        <v>474</v>
      </c>
      <c r="G168" s="203"/>
      <c r="H168" s="203">
        <f t="shared" si="2"/>
        <v>166</v>
      </c>
      <c r="I168" s="208">
        <v>17110</v>
      </c>
      <c r="J168" s="208" t="s">
        <v>475</v>
      </c>
      <c r="K168" s="351"/>
      <c r="L168" s="351"/>
      <c r="M168" s="208"/>
      <c r="N168" s="208"/>
    </row>
    <row r="169" spans="1:14">
      <c r="A169" s="208"/>
      <c r="B169" s="354">
        <v>167</v>
      </c>
      <c r="C169" s="208" t="s">
        <v>476</v>
      </c>
      <c r="D169" s="237" t="s">
        <v>477</v>
      </c>
      <c r="E169" s="208" t="s">
        <v>478</v>
      </c>
      <c r="F169" s="208" t="s">
        <v>479</v>
      </c>
      <c r="G169" s="203"/>
      <c r="H169" s="203">
        <f t="shared" si="2"/>
        <v>167</v>
      </c>
      <c r="I169" s="208">
        <v>17100</v>
      </c>
      <c r="J169" s="208" t="s">
        <v>188</v>
      </c>
      <c r="K169" s="351"/>
      <c r="L169" s="351"/>
      <c r="M169" s="208"/>
      <c r="N169" s="208"/>
    </row>
    <row r="170" spans="1:14">
      <c r="A170" s="208"/>
      <c r="B170" s="354">
        <v>168</v>
      </c>
      <c r="C170" s="208" t="s">
        <v>61</v>
      </c>
      <c r="D170" s="237" t="s">
        <v>480</v>
      </c>
      <c r="E170" s="208"/>
      <c r="F170" s="208" t="s">
        <v>481</v>
      </c>
      <c r="G170" s="203"/>
      <c r="H170" s="203">
        <f t="shared" si="2"/>
        <v>168</v>
      </c>
      <c r="I170" s="208">
        <v>17610</v>
      </c>
      <c r="J170" s="208" t="s">
        <v>52</v>
      </c>
      <c r="K170" s="351"/>
      <c r="L170" s="351"/>
      <c r="M170" s="208"/>
      <c r="N170" s="208"/>
    </row>
    <row r="171" spans="1:14">
      <c r="A171" s="208"/>
      <c r="B171" s="354">
        <v>169</v>
      </c>
      <c r="C171" s="208" t="s">
        <v>68</v>
      </c>
      <c r="D171" s="237" t="s">
        <v>482</v>
      </c>
      <c r="E171" s="208"/>
      <c r="F171" s="208" t="s">
        <v>483</v>
      </c>
      <c r="G171" s="203"/>
      <c r="H171" s="203">
        <f t="shared" si="2"/>
        <v>169</v>
      </c>
      <c r="I171" s="208">
        <v>17100</v>
      </c>
      <c r="J171" s="208" t="s">
        <v>33</v>
      </c>
      <c r="K171" s="351"/>
      <c r="L171" s="351"/>
      <c r="M171" s="208"/>
      <c r="N171" s="208"/>
    </row>
    <row r="172" spans="1:14">
      <c r="A172" s="208"/>
      <c r="B172" s="354">
        <v>170</v>
      </c>
      <c r="C172" s="208" t="s">
        <v>68</v>
      </c>
      <c r="D172" s="237" t="s">
        <v>484</v>
      </c>
      <c r="E172" s="208" t="s">
        <v>199</v>
      </c>
      <c r="F172" s="208" t="s">
        <v>485</v>
      </c>
      <c r="G172" s="203"/>
      <c r="H172" s="203">
        <f t="shared" si="2"/>
        <v>170</v>
      </c>
      <c r="I172" s="208">
        <v>17100</v>
      </c>
      <c r="J172" s="208" t="s">
        <v>188</v>
      </c>
      <c r="K172" s="351">
        <v>546937205</v>
      </c>
      <c r="L172" s="351"/>
      <c r="M172" s="208"/>
      <c r="N172" s="208"/>
    </row>
    <row r="173" spans="1:14">
      <c r="A173" s="208"/>
      <c r="B173" s="354">
        <v>171</v>
      </c>
      <c r="C173" s="208" t="s">
        <v>61</v>
      </c>
      <c r="D173" s="237" t="s">
        <v>486</v>
      </c>
      <c r="E173" s="208"/>
      <c r="F173" s="208" t="s">
        <v>487</v>
      </c>
      <c r="G173" s="203"/>
      <c r="H173" s="203">
        <f t="shared" si="2"/>
        <v>171</v>
      </c>
      <c r="I173" s="208">
        <v>17100</v>
      </c>
      <c r="J173" s="208" t="s">
        <v>188</v>
      </c>
      <c r="K173" s="351"/>
      <c r="L173" s="351"/>
      <c r="M173" s="208"/>
      <c r="N173" s="208"/>
    </row>
    <row r="174" spans="1:14">
      <c r="A174" s="208"/>
      <c r="B174" s="354">
        <v>172</v>
      </c>
      <c r="C174" s="208" t="s">
        <v>20</v>
      </c>
      <c r="D174" s="237" t="s">
        <v>488</v>
      </c>
      <c r="E174" s="208"/>
      <c r="F174" s="208" t="s">
        <v>489</v>
      </c>
      <c r="G174" s="203"/>
      <c r="H174" s="203">
        <f t="shared" si="2"/>
        <v>172</v>
      </c>
      <c r="I174" s="208">
        <v>17110</v>
      </c>
      <c r="J174" s="208" t="s">
        <v>475</v>
      </c>
      <c r="K174" s="351">
        <v>683510292</v>
      </c>
      <c r="L174" s="351"/>
      <c r="M174" s="208"/>
      <c r="N174" s="208"/>
    </row>
    <row r="175" spans="1:14">
      <c r="A175" s="208"/>
      <c r="B175" s="354">
        <v>173</v>
      </c>
      <c r="C175" s="208" t="s">
        <v>68</v>
      </c>
      <c r="D175" s="237" t="s">
        <v>490</v>
      </c>
      <c r="E175" s="208" t="s">
        <v>113</v>
      </c>
      <c r="F175" s="208" t="s">
        <v>515</v>
      </c>
      <c r="G175" s="203"/>
      <c r="H175" s="203">
        <f t="shared" si="2"/>
        <v>173</v>
      </c>
      <c r="I175" s="208">
        <v>17240</v>
      </c>
      <c r="J175" s="208" t="s">
        <v>491</v>
      </c>
      <c r="K175" s="351"/>
      <c r="L175" s="351"/>
      <c r="M175" s="208"/>
      <c r="N175" s="208"/>
    </row>
    <row r="176" spans="1:14">
      <c r="A176" s="208"/>
      <c r="B176" s="354">
        <v>174</v>
      </c>
      <c r="C176" s="208" t="s">
        <v>68</v>
      </c>
      <c r="D176" s="237" t="s">
        <v>492</v>
      </c>
      <c r="E176" s="208" t="s">
        <v>70</v>
      </c>
      <c r="F176" s="208" t="s">
        <v>493</v>
      </c>
      <c r="G176" s="203"/>
      <c r="H176" s="203">
        <f t="shared" si="2"/>
        <v>174</v>
      </c>
      <c r="I176" s="208">
        <v>17610</v>
      </c>
      <c r="J176" s="208" t="s">
        <v>52</v>
      </c>
      <c r="K176" s="351"/>
      <c r="L176" s="351"/>
      <c r="M176" s="208"/>
      <c r="N176" s="208"/>
    </row>
    <row r="177" spans="1:14">
      <c r="A177" s="208"/>
      <c r="B177" s="354">
        <v>175</v>
      </c>
      <c r="C177" s="208" t="s">
        <v>68</v>
      </c>
      <c r="D177" s="237" t="s">
        <v>494</v>
      </c>
      <c r="E177" s="208" t="s">
        <v>202</v>
      </c>
      <c r="F177" s="208" t="s">
        <v>495</v>
      </c>
      <c r="G177" s="203"/>
      <c r="H177" s="203">
        <f t="shared" si="2"/>
        <v>175</v>
      </c>
      <c r="I177" s="208">
        <v>17100</v>
      </c>
      <c r="J177" s="208" t="s">
        <v>188</v>
      </c>
      <c r="K177" s="351"/>
      <c r="L177" s="351"/>
      <c r="M177" s="208"/>
      <c r="N177" s="208"/>
    </row>
    <row r="178" spans="1:14">
      <c r="A178" s="208"/>
      <c r="B178" s="354">
        <v>176</v>
      </c>
      <c r="C178" s="208" t="s">
        <v>68</v>
      </c>
      <c r="D178" s="237" t="s">
        <v>496</v>
      </c>
      <c r="E178" s="208" t="s">
        <v>267</v>
      </c>
      <c r="F178" s="208" t="s">
        <v>497</v>
      </c>
      <c r="G178" s="203"/>
      <c r="H178" s="203">
        <f t="shared" si="2"/>
        <v>176</v>
      </c>
      <c r="I178" s="208">
        <v>17100</v>
      </c>
      <c r="J178" s="208" t="s">
        <v>32</v>
      </c>
      <c r="K178" s="351">
        <v>546915732</v>
      </c>
      <c r="L178" s="351"/>
      <c r="M178" s="208"/>
      <c r="N178" s="208"/>
    </row>
    <row r="179" spans="1:14">
      <c r="A179" s="208"/>
      <c r="B179" s="354">
        <v>177</v>
      </c>
      <c r="C179" s="208" t="s">
        <v>68</v>
      </c>
      <c r="D179" s="237" t="s">
        <v>499</v>
      </c>
      <c r="E179" s="208" t="s">
        <v>322</v>
      </c>
      <c r="F179" s="208" t="s">
        <v>501</v>
      </c>
      <c r="G179" s="203"/>
      <c r="H179" s="203">
        <f t="shared" si="2"/>
        <v>177</v>
      </c>
      <c r="I179" s="208">
        <v>17460</v>
      </c>
      <c r="J179" s="208" t="s">
        <v>500</v>
      </c>
      <c r="K179" s="351"/>
      <c r="L179" s="351"/>
      <c r="M179" s="208"/>
      <c r="N179" s="208"/>
    </row>
    <row r="180" spans="1:14">
      <c r="A180" s="208"/>
      <c r="B180" s="354">
        <v>178</v>
      </c>
      <c r="C180" s="208" t="s">
        <v>68</v>
      </c>
      <c r="D180" s="237" t="s">
        <v>502</v>
      </c>
      <c r="E180" s="208"/>
      <c r="F180" s="208" t="s">
        <v>503</v>
      </c>
      <c r="G180" s="203"/>
      <c r="H180" s="203">
        <f t="shared" si="2"/>
        <v>178</v>
      </c>
      <c r="I180" s="208">
        <v>17100</v>
      </c>
      <c r="J180" s="208" t="s">
        <v>33</v>
      </c>
      <c r="K180" s="351"/>
      <c r="L180" s="351"/>
      <c r="M180" s="208"/>
      <c r="N180" s="208"/>
    </row>
    <row r="181" spans="1:14">
      <c r="A181" s="208"/>
      <c r="B181" s="354">
        <v>179</v>
      </c>
      <c r="C181" s="208" t="s">
        <v>62</v>
      </c>
      <c r="D181" s="237" t="s">
        <v>504</v>
      </c>
      <c r="E181" s="208"/>
      <c r="F181" s="208" t="s">
        <v>505</v>
      </c>
      <c r="G181" s="203"/>
      <c r="H181" s="203">
        <f t="shared" si="2"/>
        <v>179</v>
      </c>
      <c r="I181" s="208">
        <v>17610</v>
      </c>
      <c r="J181" s="208" t="s">
        <v>52</v>
      </c>
      <c r="K181" s="351"/>
      <c r="L181" s="351"/>
      <c r="M181" s="208"/>
      <c r="N181" s="208"/>
    </row>
    <row r="182" spans="1:14">
      <c r="A182" s="208"/>
      <c r="B182" s="354">
        <v>180</v>
      </c>
      <c r="C182" s="208" t="s">
        <v>16</v>
      </c>
      <c r="D182" s="237" t="s">
        <v>506</v>
      </c>
      <c r="E182" s="208" t="s">
        <v>507</v>
      </c>
      <c r="F182" s="208" t="s">
        <v>508</v>
      </c>
      <c r="G182" s="203"/>
      <c r="H182" s="203">
        <f t="shared" si="2"/>
        <v>180</v>
      </c>
      <c r="I182" s="208">
        <v>17800</v>
      </c>
      <c r="J182" s="208" t="s">
        <v>220</v>
      </c>
      <c r="K182" s="351"/>
      <c r="L182" s="351"/>
      <c r="M182" s="208"/>
      <c r="N182" s="208"/>
    </row>
    <row r="183" spans="1:14">
      <c r="A183" s="208"/>
      <c r="B183" s="354">
        <v>181</v>
      </c>
      <c r="C183" s="208" t="s">
        <v>68</v>
      </c>
      <c r="D183" s="237" t="s">
        <v>509</v>
      </c>
      <c r="E183" s="208" t="s">
        <v>510</v>
      </c>
      <c r="F183" s="208" t="s">
        <v>511</v>
      </c>
      <c r="G183" s="203"/>
      <c r="H183" s="203">
        <f t="shared" si="2"/>
        <v>181</v>
      </c>
      <c r="I183" s="208">
        <v>17610</v>
      </c>
      <c r="J183" s="208" t="s">
        <v>52</v>
      </c>
      <c r="K183" s="351"/>
      <c r="L183" s="351"/>
      <c r="M183" s="208"/>
      <c r="N183" s="208"/>
    </row>
    <row r="184" spans="1:14">
      <c r="A184" s="208"/>
      <c r="B184" s="354">
        <v>182</v>
      </c>
      <c r="C184" s="208" t="s">
        <v>62</v>
      </c>
      <c r="D184" s="237" t="s">
        <v>512</v>
      </c>
      <c r="E184" s="208"/>
      <c r="F184" s="208" t="s">
        <v>513</v>
      </c>
      <c r="G184" s="203"/>
      <c r="H184" s="203">
        <f t="shared" si="2"/>
        <v>182</v>
      </c>
      <c r="I184" s="208">
        <v>17610</v>
      </c>
      <c r="J184" s="208" t="s">
        <v>52</v>
      </c>
      <c r="K184" s="351">
        <v>546936612</v>
      </c>
      <c r="L184" s="351"/>
      <c r="M184" s="208"/>
      <c r="N184" s="208"/>
    </row>
    <row r="185" spans="1:14">
      <c r="A185" s="208"/>
      <c r="B185" s="354">
        <v>183</v>
      </c>
      <c r="C185" s="208" t="s">
        <v>68</v>
      </c>
      <c r="D185" s="237" t="s">
        <v>514</v>
      </c>
      <c r="E185" s="208" t="s">
        <v>917</v>
      </c>
      <c r="F185" s="208" t="s">
        <v>918</v>
      </c>
      <c r="G185" s="203"/>
      <c r="H185" s="203">
        <f t="shared" si="2"/>
        <v>183</v>
      </c>
      <c r="I185" s="208">
        <v>17610</v>
      </c>
      <c r="J185" s="208" t="s">
        <v>52</v>
      </c>
      <c r="K185" s="351"/>
      <c r="L185" s="351"/>
      <c r="M185" s="208"/>
      <c r="N185" s="208"/>
    </row>
    <row r="186" spans="1:14">
      <c r="A186" s="208"/>
      <c r="B186" s="354">
        <v>184</v>
      </c>
      <c r="C186" s="208" t="s">
        <v>68</v>
      </c>
      <c r="D186" s="237" t="s">
        <v>516</v>
      </c>
      <c r="E186" s="208"/>
      <c r="F186" s="208" t="s">
        <v>517</v>
      </c>
      <c r="G186" s="203"/>
      <c r="H186" s="203">
        <f t="shared" si="2"/>
        <v>184</v>
      </c>
      <c r="I186" s="208">
        <v>17100</v>
      </c>
      <c r="J186" s="208" t="s">
        <v>33</v>
      </c>
      <c r="K186" s="351"/>
      <c r="L186" s="351"/>
      <c r="M186" s="208"/>
      <c r="N186" s="208"/>
    </row>
    <row r="187" spans="1:14">
      <c r="A187" s="208"/>
      <c r="B187" s="354">
        <v>185</v>
      </c>
      <c r="C187" s="208" t="s">
        <v>518</v>
      </c>
      <c r="D187" s="237" t="s">
        <v>519</v>
      </c>
      <c r="E187" s="208"/>
      <c r="F187" s="208" t="s">
        <v>706</v>
      </c>
      <c r="G187" s="203"/>
      <c r="H187" s="203">
        <f t="shared" si="2"/>
        <v>185</v>
      </c>
      <c r="I187" s="208">
        <v>17400</v>
      </c>
      <c r="J187" s="208" t="s">
        <v>520</v>
      </c>
      <c r="K187" s="351"/>
      <c r="L187" s="351"/>
      <c r="M187" s="208"/>
      <c r="N187" s="208"/>
    </row>
    <row r="188" spans="1:14">
      <c r="A188" s="208"/>
      <c r="B188" s="354">
        <v>186</v>
      </c>
      <c r="C188" s="208" t="s">
        <v>62</v>
      </c>
      <c r="D188" s="237" t="s">
        <v>521</v>
      </c>
      <c r="E188" s="208"/>
      <c r="F188" s="208" t="s">
        <v>522</v>
      </c>
      <c r="G188" s="203"/>
      <c r="H188" s="203">
        <f t="shared" si="2"/>
        <v>186</v>
      </c>
      <c r="I188" s="208">
        <v>17100</v>
      </c>
      <c r="J188" s="208" t="s">
        <v>33</v>
      </c>
      <c r="K188" s="351"/>
      <c r="L188" s="351"/>
      <c r="M188" s="208"/>
      <c r="N188" s="208"/>
    </row>
    <row r="189" spans="1:14">
      <c r="A189" s="208"/>
      <c r="B189" s="354">
        <v>187</v>
      </c>
      <c r="C189" s="208" t="s">
        <v>68</v>
      </c>
      <c r="D189" s="237" t="s">
        <v>523</v>
      </c>
      <c r="E189" s="208" t="s">
        <v>202</v>
      </c>
      <c r="F189" s="208" t="s">
        <v>524</v>
      </c>
      <c r="G189" s="203"/>
      <c r="H189" s="203">
        <f t="shared" si="2"/>
        <v>187</v>
      </c>
      <c r="I189" s="208">
        <v>17100</v>
      </c>
      <c r="J189" s="208" t="s">
        <v>265</v>
      </c>
      <c r="K189" s="351"/>
      <c r="L189" s="351"/>
      <c r="M189" s="208"/>
      <c r="N189" s="208"/>
    </row>
    <row r="190" spans="1:14">
      <c r="A190" s="208"/>
      <c r="B190" s="354">
        <v>188</v>
      </c>
      <c r="C190" s="208" t="s">
        <v>525</v>
      </c>
      <c r="D190" s="237" t="s">
        <v>526</v>
      </c>
      <c r="E190" s="208" t="s">
        <v>527</v>
      </c>
      <c r="F190" s="208" t="s">
        <v>528</v>
      </c>
      <c r="G190" s="203"/>
      <c r="H190" s="203">
        <f t="shared" si="2"/>
        <v>188</v>
      </c>
      <c r="I190" s="208">
        <v>17100</v>
      </c>
      <c r="J190" s="208" t="s">
        <v>33</v>
      </c>
      <c r="K190" s="351"/>
      <c r="L190" s="351"/>
      <c r="M190" s="208"/>
      <c r="N190" s="208"/>
    </row>
    <row r="191" spans="1:14">
      <c r="A191" s="208"/>
      <c r="B191" s="354">
        <v>189</v>
      </c>
      <c r="C191" s="208"/>
      <c r="D191" s="237" t="s">
        <v>529</v>
      </c>
      <c r="E191" s="208" t="s">
        <v>530</v>
      </c>
      <c r="F191" s="208" t="s">
        <v>531</v>
      </c>
      <c r="G191" s="203"/>
      <c r="H191" s="203">
        <f t="shared" si="2"/>
        <v>189</v>
      </c>
      <c r="I191" s="208">
        <v>17300</v>
      </c>
      <c r="J191" s="208" t="s">
        <v>298</v>
      </c>
      <c r="K191" s="351">
        <v>546882299</v>
      </c>
      <c r="L191" s="351"/>
      <c r="M191" s="208"/>
      <c r="N191" s="208"/>
    </row>
    <row r="192" spans="1:14">
      <c r="A192" s="208"/>
      <c r="B192" s="354">
        <v>190</v>
      </c>
      <c r="C192" s="208" t="s">
        <v>68</v>
      </c>
      <c r="D192" s="237" t="s">
        <v>533</v>
      </c>
      <c r="E192" s="208"/>
      <c r="F192" s="208"/>
      <c r="G192" s="203"/>
      <c r="H192" s="203">
        <f t="shared" si="2"/>
        <v>190</v>
      </c>
      <c r="I192" s="208">
        <v>17100</v>
      </c>
      <c r="J192" s="208" t="s">
        <v>188</v>
      </c>
      <c r="K192" s="351">
        <v>689358226</v>
      </c>
      <c r="L192" s="351"/>
      <c r="M192" s="208"/>
      <c r="N192" s="208"/>
    </row>
    <row r="193" spans="1:14">
      <c r="A193" s="208"/>
      <c r="B193" s="354">
        <v>191</v>
      </c>
      <c r="C193" s="208" t="s">
        <v>47</v>
      </c>
      <c r="D193" s="237" t="s">
        <v>534</v>
      </c>
      <c r="E193" s="208" t="s">
        <v>535</v>
      </c>
      <c r="F193" s="208" t="s">
        <v>536</v>
      </c>
      <c r="G193" s="203"/>
      <c r="H193" s="203">
        <f t="shared" si="2"/>
        <v>191</v>
      </c>
      <c r="I193" s="208">
        <v>17100</v>
      </c>
      <c r="J193" s="208" t="s">
        <v>33</v>
      </c>
      <c r="K193" s="351"/>
      <c r="L193" s="351"/>
      <c r="M193" s="208"/>
      <c r="N193" s="208"/>
    </row>
    <row r="194" spans="1:14">
      <c r="A194" s="208"/>
      <c r="B194" s="354">
        <v>192</v>
      </c>
      <c r="C194" s="208" t="s">
        <v>61</v>
      </c>
      <c r="D194" s="237" t="s">
        <v>537</v>
      </c>
      <c r="E194" s="208" t="s">
        <v>538</v>
      </c>
      <c r="F194" s="208" t="s">
        <v>539</v>
      </c>
      <c r="G194" s="203"/>
      <c r="H194" s="203">
        <f t="shared" si="2"/>
        <v>192</v>
      </c>
      <c r="I194" s="208">
        <v>17800</v>
      </c>
      <c r="J194" s="208" t="s">
        <v>540</v>
      </c>
      <c r="K194" s="351"/>
      <c r="L194" s="351"/>
      <c r="M194" s="208"/>
      <c r="N194" s="208"/>
    </row>
    <row r="195" spans="1:14">
      <c r="A195" s="208"/>
      <c r="B195" s="354">
        <v>193</v>
      </c>
      <c r="C195" s="208" t="s">
        <v>16</v>
      </c>
      <c r="D195" s="237" t="s">
        <v>541</v>
      </c>
      <c r="E195" s="208"/>
      <c r="F195" s="208" t="s">
        <v>542</v>
      </c>
      <c r="G195" s="203"/>
      <c r="H195" s="203">
        <f t="shared" si="2"/>
        <v>193</v>
      </c>
      <c r="I195" s="208">
        <v>17100</v>
      </c>
      <c r="J195" s="208" t="s">
        <v>33</v>
      </c>
      <c r="K195" s="351"/>
      <c r="L195" s="351"/>
      <c r="M195" s="208"/>
      <c r="N195" s="208"/>
    </row>
    <row r="196" spans="1:14">
      <c r="A196" s="208"/>
      <c r="B196" s="354">
        <v>194</v>
      </c>
      <c r="C196" s="208" t="s">
        <v>61</v>
      </c>
      <c r="D196" s="237" t="s">
        <v>544</v>
      </c>
      <c r="E196" s="208"/>
      <c r="F196" s="208" t="s">
        <v>545</v>
      </c>
      <c r="G196" s="203"/>
      <c r="H196" s="203">
        <f t="shared" ref="H196:H259" si="3">B196</f>
        <v>194</v>
      </c>
      <c r="I196" s="208">
        <v>17100</v>
      </c>
      <c r="J196" s="208" t="s">
        <v>33</v>
      </c>
      <c r="K196" s="351"/>
      <c r="L196" s="351"/>
      <c r="M196" s="208"/>
      <c r="N196" s="208"/>
    </row>
    <row r="197" spans="1:14">
      <c r="A197" s="208"/>
      <c r="B197" s="354">
        <v>195</v>
      </c>
      <c r="C197" s="208" t="s">
        <v>20</v>
      </c>
      <c r="D197" s="237" t="s">
        <v>153</v>
      </c>
      <c r="E197" s="208" t="s">
        <v>146</v>
      </c>
      <c r="F197" s="208" t="s">
        <v>860</v>
      </c>
      <c r="G197" s="203"/>
      <c r="H197" s="203">
        <f t="shared" si="3"/>
        <v>195</v>
      </c>
      <c r="I197" s="208">
        <v>17460</v>
      </c>
      <c r="J197" s="208" t="s">
        <v>294</v>
      </c>
      <c r="K197" s="351"/>
      <c r="L197" s="351"/>
      <c r="M197" s="208"/>
      <c r="N197" s="208"/>
    </row>
    <row r="198" spans="1:14">
      <c r="A198" s="208"/>
      <c r="B198" s="354">
        <v>196</v>
      </c>
      <c r="C198" s="208" t="s">
        <v>68</v>
      </c>
      <c r="D198" s="237" t="s">
        <v>546</v>
      </c>
      <c r="E198" s="208" t="s">
        <v>547</v>
      </c>
      <c r="F198" s="208" t="s">
        <v>548</v>
      </c>
      <c r="G198" s="203"/>
      <c r="H198" s="203">
        <f t="shared" si="3"/>
        <v>196</v>
      </c>
      <c r="I198" s="208">
        <v>17200</v>
      </c>
      <c r="J198" s="208" t="s">
        <v>549</v>
      </c>
      <c r="K198" s="351"/>
      <c r="L198" s="351"/>
      <c r="M198" s="208"/>
      <c r="N198" s="208"/>
    </row>
    <row r="199" spans="1:14">
      <c r="A199" s="208"/>
      <c r="B199" s="354">
        <v>197</v>
      </c>
      <c r="C199" s="208" t="s">
        <v>20</v>
      </c>
      <c r="D199" s="237" t="s">
        <v>550</v>
      </c>
      <c r="E199" s="208" t="s">
        <v>551</v>
      </c>
      <c r="F199" s="208" t="s">
        <v>552</v>
      </c>
      <c r="G199" s="203"/>
      <c r="H199" s="203">
        <f t="shared" si="3"/>
        <v>197</v>
      </c>
      <c r="I199" s="208">
        <v>17810</v>
      </c>
      <c r="J199" s="208" t="s">
        <v>553</v>
      </c>
      <c r="K199" s="351"/>
      <c r="L199" s="351"/>
      <c r="M199" s="208"/>
      <c r="N199" s="208"/>
    </row>
    <row r="200" spans="1:14">
      <c r="A200" s="208"/>
      <c r="B200" s="354">
        <v>198</v>
      </c>
      <c r="C200" s="208" t="s">
        <v>68</v>
      </c>
      <c r="D200" s="237" t="s">
        <v>555</v>
      </c>
      <c r="E200" s="208"/>
      <c r="F200" s="208" t="s">
        <v>554</v>
      </c>
      <c r="G200" s="203"/>
      <c r="H200" s="203">
        <f t="shared" si="3"/>
        <v>198</v>
      </c>
      <c r="I200" s="208">
        <v>17610</v>
      </c>
      <c r="J200" s="208" t="s">
        <v>52</v>
      </c>
      <c r="K200" s="351"/>
      <c r="L200" s="351"/>
      <c r="M200" s="208"/>
      <c r="N200" s="208"/>
    </row>
    <row r="201" spans="1:14">
      <c r="A201" s="208"/>
      <c r="B201" s="354">
        <v>199</v>
      </c>
      <c r="C201" s="208"/>
      <c r="D201" s="237" t="s">
        <v>556</v>
      </c>
      <c r="E201" s="208"/>
      <c r="F201" s="208" t="s">
        <v>557</v>
      </c>
      <c r="G201" s="203"/>
      <c r="H201" s="203">
        <f t="shared" si="3"/>
        <v>199</v>
      </c>
      <c r="I201" s="208">
        <v>16101</v>
      </c>
      <c r="J201" s="208" t="s">
        <v>558</v>
      </c>
      <c r="K201" s="351"/>
      <c r="L201" s="351"/>
      <c r="M201" s="208"/>
      <c r="N201" s="208"/>
    </row>
    <row r="202" spans="1:14">
      <c r="A202" s="208"/>
      <c r="B202" s="354">
        <v>200</v>
      </c>
      <c r="C202" s="208"/>
      <c r="D202" s="237" t="s">
        <v>559</v>
      </c>
      <c r="E202" s="208"/>
      <c r="F202" s="208" t="s">
        <v>560</v>
      </c>
      <c r="G202" s="203"/>
      <c r="H202" s="203">
        <f t="shared" si="3"/>
        <v>200</v>
      </c>
      <c r="I202" s="208">
        <v>17100</v>
      </c>
      <c r="J202" s="208" t="s">
        <v>188</v>
      </c>
      <c r="K202" s="351">
        <v>546916166</v>
      </c>
      <c r="L202" s="351"/>
      <c r="M202" s="208"/>
      <c r="N202" s="208"/>
    </row>
    <row r="203" spans="1:14">
      <c r="A203" s="208"/>
      <c r="B203" s="354">
        <v>201</v>
      </c>
      <c r="C203" s="208" t="s">
        <v>68</v>
      </c>
      <c r="D203" s="237" t="s">
        <v>561</v>
      </c>
      <c r="E203" s="208" t="s">
        <v>562</v>
      </c>
      <c r="F203" s="208" t="s">
        <v>563</v>
      </c>
      <c r="G203" s="203"/>
      <c r="H203" s="203">
        <f t="shared" si="3"/>
        <v>201</v>
      </c>
      <c r="I203" s="208">
        <v>17220</v>
      </c>
      <c r="J203" s="208" t="s">
        <v>564</v>
      </c>
      <c r="K203" s="351"/>
      <c r="L203" s="351"/>
      <c r="M203" s="208"/>
      <c r="N203" s="208"/>
    </row>
    <row r="204" spans="1:14">
      <c r="A204" s="208"/>
      <c r="B204" s="354">
        <v>202</v>
      </c>
      <c r="C204" s="208"/>
      <c r="D204" s="237" t="s">
        <v>565</v>
      </c>
      <c r="E204" s="208"/>
      <c r="F204" s="208" t="s">
        <v>350</v>
      </c>
      <c r="G204" s="203"/>
      <c r="H204" s="203">
        <f t="shared" si="3"/>
        <v>202</v>
      </c>
      <c r="I204" s="208">
        <v>17100</v>
      </c>
      <c r="J204" s="208" t="s">
        <v>188</v>
      </c>
      <c r="K204" s="351"/>
      <c r="L204" s="351"/>
      <c r="M204" s="208"/>
      <c r="N204" s="208"/>
    </row>
    <row r="205" spans="1:14">
      <c r="A205" s="208"/>
      <c r="B205" s="354">
        <v>203</v>
      </c>
      <c r="C205" s="208" t="s">
        <v>61</v>
      </c>
      <c r="D205" s="237" t="s">
        <v>567</v>
      </c>
      <c r="E205" s="208"/>
      <c r="F205" s="208" t="s">
        <v>568</v>
      </c>
      <c r="G205" s="203"/>
      <c r="H205" s="203">
        <f t="shared" si="3"/>
        <v>203</v>
      </c>
      <c r="I205" s="208">
        <v>17100</v>
      </c>
      <c r="J205" s="208" t="s">
        <v>356</v>
      </c>
      <c r="K205" s="351"/>
      <c r="L205" s="351"/>
      <c r="M205" s="208"/>
      <c r="N205" s="208"/>
    </row>
    <row r="206" spans="1:14">
      <c r="A206" s="208"/>
      <c r="B206" s="354">
        <v>204</v>
      </c>
      <c r="C206" s="208" t="s">
        <v>20</v>
      </c>
      <c r="D206" s="237" t="s">
        <v>569</v>
      </c>
      <c r="E206" s="208" t="s">
        <v>570</v>
      </c>
      <c r="F206" s="208" t="s">
        <v>571</v>
      </c>
      <c r="G206" s="203"/>
      <c r="H206" s="203">
        <f t="shared" si="3"/>
        <v>204</v>
      </c>
      <c r="I206" s="208">
        <v>17100</v>
      </c>
      <c r="J206" s="208" t="s">
        <v>32</v>
      </c>
      <c r="K206" s="351">
        <v>546915290</v>
      </c>
      <c r="L206" s="351"/>
      <c r="M206" s="208"/>
      <c r="N206" s="208"/>
    </row>
    <row r="207" spans="1:14">
      <c r="A207" s="208"/>
      <c r="B207" s="354">
        <v>205</v>
      </c>
      <c r="C207" s="208" t="s">
        <v>61</v>
      </c>
      <c r="D207" s="237" t="s">
        <v>572</v>
      </c>
      <c r="E207" s="208"/>
      <c r="F207" s="208" t="s">
        <v>573</v>
      </c>
      <c r="G207" s="203"/>
      <c r="H207" s="203">
        <f t="shared" si="3"/>
        <v>205</v>
      </c>
      <c r="I207" s="208">
        <v>17100</v>
      </c>
      <c r="J207" s="208" t="s">
        <v>356</v>
      </c>
      <c r="K207" s="351">
        <v>546749538</v>
      </c>
      <c r="L207" s="351"/>
      <c r="M207" s="208"/>
      <c r="N207" s="208"/>
    </row>
    <row r="208" spans="1:14">
      <c r="A208" s="208"/>
      <c r="B208" s="354">
        <v>206</v>
      </c>
      <c r="C208" s="208" t="s">
        <v>16</v>
      </c>
      <c r="D208" s="237" t="s">
        <v>574</v>
      </c>
      <c r="E208" s="208"/>
      <c r="F208" s="208" t="s">
        <v>575</v>
      </c>
      <c r="G208" s="203"/>
      <c r="H208" s="203">
        <f t="shared" si="3"/>
        <v>206</v>
      </c>
      <c r="I208" s="208">
        <v>17100</v>
      </c>
      <c r="J208" s="208" t="s">
        <v>33</v>
      </c>
      <c r="K208" s="351"/>
      <c r="L208" s="351"/>
      <c r="M208" s="208"/>
      <c r="N208" s="208"/>
    </row>
    <row r="209" spans="1:14">
      <c r="A209" s="208"/>
      <c r="B209" s="354">
        <v>207</v>
      </c>
      <c r="C209" s="208" t="s">
        <v>16</v>
      </c>
      <c r="D209" s="237" t="s">
        <v>576</v>
      </c>
      <c r="E209" s="208" t="s">
        <v>577</v>
      </c>
      <c r="F209" s="208" t="s">
        <v>578</v>
      </c>
      <c r="G209" s="203"/>
      <c r="H209" s="203">
        <f t="shared" si="3"/>
        <v>207</v>
      </c>
      <c r="I209" s="208">
        <v>17100</v>
      </c>
      <c r="J209" s="208" t="s">
        <v>33</v>
      </c>
      <c r="K209" s="351"/>
      <c r="L209" s="351"/>
      <c r="M209" s="208"/>
      <c r="N209" s="208"/>
    </row>
    <row r="210" spans="1:14">
      <c r="A210" s="208"/>
      <c r="B210" s="354">
        <v>208</v>
      </c>
      <c r="C210" s="208" t="s">
        <v>16</v>
      </c>
      <c r="D210" s="237" t="s">
        <v>579</v>
      </c>
      <c r="E210" s="208" t="s">
        <v>580</v>
      </c>
      <c r="F210" s="208" t="s">
        <v>581</v>
      </c>
      <c r="G210" s="203"/>
      <c r="H210" s="203">
        <f t="shared" si="3"/>
        <v>208</v>
      </c>
      <c r="I210" s="208">
        <v>17200</v>
      </c>
      <c r="J210" s="208" t="s">
        <v>549</v>
      </c>
      <c r="K210" s="351">
        <v>147071448</v>
      </c>
      <c r="L210" s="351">
        <v>680155125</v>
      </c>
      <c r="M210" s="208"/>
      <c r="N210" s="208"/>
    </row>
    <row r="211" spans="1:14">
      <c r="A211" s="208"/>
      <c r="B211" s="354">
        <v>209</v>
      </c>
      <c r="C211" s="208" t="s">
        <v>16</v>
      </c>
      <c r="D211" s="237" t="s">
        <v>582</v>
      </c>
      <c r="E211" s="208" t="s">
        <v>583</v>
      </c>
      <c r="F211" s="208" t="s">
        <v>584</v>
      </c>
      <c r="G211" s="203"/>
      <c r="H211" s="203">
        <f t="shared" si="3"/>
        <v>209</v>
      </c>
      <c r="I211" s="208">
        <v>17100</v>
      </c>
      <c r="J211" s="208" t="s">
        <v>52</v>
      </c>
      <c r="K211" s="351">
        <v>546941764</v>
      </c>
      <c r="L211" s="351"/>
      <c r="M211" s="208"/>
      <c r="N211" s="208"/>
    </row>
    <row r="212" spans="1:14">
      <c r="A212" s="208"/>
      <c r="B212" s="354">
        <v>210</v>
      </c>
      <c r="C212" s="208" t="s">
        <v>61</v>
      </c>
      <c r="D212" s="237" t="s">
        <v>585</v>
      </c>
      <c r="E212" s="208"/>
      <c r="F212" s="208" t="s">
        <v>586</v>
      </c>
      <c r="G212" s="203"/>
      <c r="H212" s="203">
        <f t="shared" si="3"/>
        <v>210</v>
      </c>
      <c r="I212" s="208">
        <v>17100</v>
      </c>
      <c r="J212" s="208" t="s">
        <v>188</v>
      </c>
      <c r="K212" s="351"/>
      <c r="L212" s="351">
        <v>612580172</v>
      </c>
      <c r="M212" s="208"/>
      <c r="N212" s="208"/>
    </row>
    <row r="213" spans="1:14">
      <c r="A213" s="208"/>
      <c r="B213" s="354">
        <v>211</v>
      </c>
      <c r="C213" s="208" t="s">
        <v>16</v>
      </c>
      <c r="D213" s="237" t="s">
        <v>587</v>
      </c>
      <c r="E213" s="208" t="s">
        <v>588</v>
      </c>
      <c r="F213" s="208" t="s">
        <v>589</v>
      </c>
      <c r="G213" s="203"/>
      <c r="H213" s="203">
        <f t="shared" si="3"/>
        <v>211</v>
      </c>
      <c r="I213" s="208">
        <v>17100</v>
      </c>
      <c r="J213" s="208" t="s">
        <v>32</v>
      </c>
      <c r="K213" s="351"/>
      <c r="L213" s="351"/>
      <c r="M213" s="208"/>
      <c r="N213" s="208"/>
    </row>
    <row r="214" spans="1:14">
      <c r="A214" s="208"/>
      <c r="B214" s="354">
        <v>212</v>
      </c>
      <c r="C214" s="208" t="s">
        <v>114</v>
      </c>
      <c r="D214" s="237" t="s">
        <v>590</v>
      </c>
      <c r="E214" s="208"/>
      <c r="F214" s="208" t="s">
        <v>591</v>
      </c>
      <c r="G214" s="203"/>
      <c r="H214" s="203">
        <f t="shared" si="3"/>
        <v>212</v>
      </c>
      <c r="I214" s="208">
        <v>17460</v>
      </c>
      <c r="J214" s="208" t="s">
        <v>500</v>
      </c>
      <c r="K214" s="351">
        <v>546740615</v>
      </c>
      <c r="L214" s="351"/>
      <c r="M214" s="208"/>
      <c r="N214" s="208"/>
    </row>
    <row r="215" spans="1:14">
      <c r="A215" s="208"/>
      <c r="B215" s="354">
        <v>213</v>
      </c>
      <c r="C215" s="208" t="s">
        <v>114</v>
      </c>
      <c r="D215" s="237" t="s">
        <v>353</v>
      </c>
      <c r="E215" s="208" t="s">
        <v>153</v>
      </c>
      <c r="F215" s="208" t="s">
        <v>355</v>
      </c>
      <c r="G215" s="203"/>
      <c r="H215" s="203">
        <f t="shared" si="3"/>
        <v>213</v>
      </c>
      <c r="I215" s="208">
        <v>17100</v>
      </c>
      <c r="J215" s="208" t="s">
        <v>356</v>
      </c>
      <c r="K215" s="351"/>
      <c r="L215" s="351"/>
      <c r="M215" s="208"/>
      <c r="N215" s="208"/>
    </row>
    <row r="216" spans="1:14">
      <c r="A216" s="208"/>
      <c r="B216" s="354">
        <v>214</v>
      </c>
      <c r="C216" s="208" t="s">
        <v>16</v>
      </c>
      <c r="D216" s="237" t="s">
        <v>592</v>
      </c>
      <c r="E216" s="208"/>
      <c r="F216" s="208" t="s">
        <v>593</v>
      </c>
      <c r="G216" s="203"/>
      <c r="H216" s="203">
        <f t="shared" si="3"/>
        <v>214</v>
      </c>
      <c r="I216" s="208">
        <v>17100</v>
      </c>
      <c r="J216" s="208" t="s">
        <v>188</v>
      </c>
      <c r="K216" s="351"/>
      <c r="L216" s="351"/>
      <c r="M216" s="208"/>
      <c r="N216" s="208"/>
    </row>
    <row r="217" spans="1:14">
      <c r="A217" s="208"/>
      <c r="B217" s="354">
        <v>215</v>
      </c>
      <c r="C217" s="208" t="s">
        <v>20</v>
      </c>
      <c r="D217" s="237" t="s">
        <v>594</v>
      </c>
      <c r="E217" s="208" t="s">
        <v>351</v>
      </c>
      <c r="F217" s="208" t="s">
        <v>595</v>
      </c>
      <c r="G217" s="203"/>
      <c r="H217" s="203">
        <f t="shared" si="3"/>
        <v>215</v>
      </c>
      <c r="I217" s="208">
        <v>17610</v>
      </c>
      <c r="J217" s="208" t="s">
        <v>327</v>
      </c>
      <c r="K217" s="351"/>
      <c r="L217" s="351"/>
      <c r="M217" s="208"/>
      <c r="N217" s="208"/>
    </row>
    <row r="218" spans="1:14">
      <c r="A218" s="208"/>
      <c r="B218" s="354">
        <v>216</v>
      </c>
      <c r="C218" s="208" t="s">
        <v>20</v>
      </c>
      <c r="D218" s="237" t="s">
        <v>596</v>
      </c>
      <c r="E218" s="208" t="s">
        <v>597</v>
      </c>
      <c r="F218" s="208" t="s">
        <v>598</v>
      </c>
      <c r="G218" s="203"/>
      <c r="H218" s="203">
        <f t="shared" si="3"/>
        <v>216</v>
      </c>
      <c r="I218" s="208">
        <v>17100</v>
      </c>
      <c r="J218" s="208" t="s">
        <v>356</v>
      </c>
      <c r="K218" s="351"/>
      <c r="L218" s="351"/>
      <c r="M218" s="208"/>
      <c r="N218" s="208"/>
    </row>
    <row r="219" spans="1:14">
      <c r="A219" s="208"/>
      <c r="B219" s="354">
        <v>217</v>
      </c>
      <c r="C219" s="208" t="s">
        <v>20</v>
      </c>
      <c r="D219" s="237" t="s">
        <v>599</v>
      </c>
      <c r="E219" s="208"/>
      <c r="F219" s="208" t="s">
        <v>600</v>
      </c>
      <c r="G219" s="203"/>
      <c r="H219" s="203">
        <f t="shared" si="3"/>
        <v>217</v>
      </c>
      <c r="I219" s="208">
        <v>17100</v>
      </c>
      <c r="J219" s="208" t="s">
        <v>33</v>
      </c>
      <c r="K219" s="351"/>
      <c r="L219" s="351"/>
      <c r="M219" s="208"/>
      <c r="N219" s="208"/>
    </row>
    <row r="220" spans="1:14">
      <c r="A220" s="208"/>
      <c r="B220" s="354">
        <v>218</v>
      </c>
      <c r="C220" s="208" t="s">
        <v>61</v>
      </c>
      <c r="D220" s="237" t="s">
        <v>601</v>
      </c>
      <c r="E220" s="208"/>
      <c r="F220" s="208" t="s">
        <v>602</v>
      </c>
      <c r="G220" s="203"/>
      <c r="H220" s="203">
        <f t="shared" si="3"/>
        <v>218</v>
      </c>
      <c r="I220" s="208">
        <v>17600</v>
      </c>
      <c r="J220" s="208" t="s">
        <v>603</v>
      </c>
      <c r="K220" s="351"/>
      <c r="L220" s="351"/>
      <c r="M220" s="208"/>
      <c r="N220" s="208"/>
    </row>
    <row r="221" spans="1:14">
      <c r="A221" s="208"/>
      <c r="B221" s="354">
        <v>219</v>
      </c>
      <c r="C221" s="208" t="s">
        <v>20</v>
      </c>
      <c r="D221" s="237" t="s">
        <v>604</v>
      </c>
      <c r="E221" s="208" t="s">
        <v>605</v>
      </c>
      <c r="F221" s="208" t="s">
        <v>606</v>
      </c>
      <c r="G221" s="203"/>
      <c r="H221" s="203">
        <f t="shared" si="3"/>
        <v>219</v>
      </c>
      <c r="I221" s="208">
        <v>17610</v>
      </c>
      <c r="J221" s="208" t="s">
        <v>52</v>
      </c>
      <c r="K221" s="351">
        <v>546911183</v>
      </c>
      <c r="L221" s="351"/>
      <c r="M221" s="208"/>
      <c r="N221" s="208"/>
    </row>
    <row r="222" spans="1:14">
      <c r="A222" s="208"/>
      <c r="B222" s="354">
        <v>220</v>
      </c>
      <c r="C222" s="208" t="s">
        <v>20</v>
      </c>
      <c r="D222" s="237" t="s">
        <v>607</v>
      </c>
      <c r="E222" s="208" t="s">
        <v>608</v>
      </c>
      <c r="F222" s="208" t="s">
        <v>609</v>
      </c>
      <c r="G222" s="203"/>
      <c r="H222" s="203">
        <f t="shared" si="3"/>
        <v>220</v>
      </c>
      <c r="I222" s="208">
        <v>17610</v>
      </c>
      <c r="J222" s="208" t="s">
        <v>52</v>
      </c>
      <c r="K222" s="351">
        <v>546981547</v>
      </c>
      <c r="L222" s="351"/>
      <c r="M222" s="208"/>
      <c r="N222" s="208"/>
    </row>
    <row r="223" spans="1:14">
      <c r="A223" s="208"/>
      <c r="B223" s="354">
        <v>221</v>
      </c>
      <c r="C223" s="208" t="s">
        <v>20</v>
      </c>
      <c r="D223" s="237" t="s">
        <v>610</v>
      </c>
      <c r="E223" s="208" t="s">
        <v>611</v>
      </c>
      <c r="F223" s="208" t="s">
        <v>612</v>
      </c>
      <c r="G223" s="203"/>
      <c r="H223" s="203">
        <f t="shared" si="3"/>
        <v>221</v>
      </c>
      <c r="I223" s="208">
        <v>24650</v>
      </c>
      <c r="J223" s="208" t="s">
        <v>613</v>
      </c>
      <c r="K223" s="351">
        <v>553084696</v>
      </c>
      <c r="L223" s="351">
        <v>672764716</v>
      </c>
      <c r="M223" s="208"/>
      <c r="N223" s="208"/>
    </row>
    <row r="224" spans="1:14">
      <c r="A224" s="208"/>
      <c r="B224" s="354">
        <v>222</v>
      </c>
      <c r="C224" s="208" t="s">
        <v>20</v>
      </c>
      <c r="D224" s="237" t="s">
        <v>614</v>
      </c>
      <c r="E224" s="208" t="s">
        <v>615</v>
      </c>
      <c r="F224" s="208" t="s">
        <v>616</v>
      </c>
      <c r="G224" s="203"/>
      <c r="H224" s="203">
        <f t="shared" si="3"/>
        <v>222</v>
      </c>
      <c r="I224" s="208">
        <v>17100</v>
      </c>
      <c r="J224" s="208" t="s">
        <v>356</v>
      </c>
      <c r="K224" s="351"/>
      <c r="L224" s="351"/>
      <c r="M224" s="208"/>
      <c r="N224" s="208"/>
    </row>
    <row r="225" spans="1:14">
      <c r="A225" s="208"/>
      <c r="B225" s="354">
        <v>223</v>
      </c>
      <c r="C225" s="208" t="s">
        <v>20</v>
      </c>
      <c r="D225" s="237" t="s">
        <v>617</v>
      </c>
      <c r="E225" s="208"/>
      <c r="F225" s="208" t="s">
        <v>618</v>
      </c>
      <c r="G225" s="203"/>
      <c r="H225" s="203">
        <f t="shared" si="3"/>
        <v>223</v>
      </c>
      <c r="I225" s="208">
        <v>17100</v>
      </c>
      <c r="J225" s="208" t="s">
        <v>33</v>
      </c>
      <c r="K225" s="351"/>
      <c r="L225" s="351"/>
      <c r="M225" s="208"/>
      <c r="N225" s="208"/>
    </row>
    <row r="226" spans="1:14">
      <c r="A226" s="208"/>
      <c r="B226" s="354">
        <v>224</v>
      </c>
      <c r="C226" s="208" t="s">
        <v>20</v>
      </c>
      <c r="D226" s="237" t="s">
        <v>619</v>
      </c>
      <c r="E226" s="208" t="s">
        <v>620</v>
      </c>
      <c r="F226" s="208" t="s">
        <v>621</v>
      </c>
      <c r="G226" s="203"/>
      <c r="H226" s="203">
        <f t="shared" si="3"/>
        <v>224</v>
      </c>
      <c r="I226" s="208">
        <v>17460</v>
      </c>
      <c r="J226" s="208" t="s">
        <v>294</v>
      </c>
      <c r="K226" s="351">
        <v>546929890</v>
      </c>
      <c r="L226" s="351"/>
      <c r="M226" s="208"/>
      <c r="N226" s="208"/>
    </row>
    <row r="227" spans="1:14">
      <c r="A227" s="208"/>
      <c r="B227" s="354">
        <v>225</v>
      </c>
      <c r="C227" s="208" t="s">
        <v>20</v>
      </c>
      <c r="D227" s="237" t="s">
        <v>622</v>
      </c>
      <c r="E227" s="208" t="s">
        <v>623</v>
      </c>
      <c r="F227" s="208" t="s">
        <v>874</v>
      </c>
      <c r="G227" s="203"/>
      <c r="H227" s="203">
        <f t="shared" si="3"/>
        <v>225</v>
      </c>
      <c r="I227" s="208">
        <v>17100</v>
      </c>
      <c r="J227" s="208" t="s">
        <v>32</v>
      </c>
      <c r="K227" s="351">
        <v>546934002</v>
      </c>
      <c r="L227" s="351"/>
      <c r="M227" s="208"/>
      <c r="N227" s="208"/>
    </row>
    <row r="228" spans="1:14">
      <c r="A228" s="208"/>
      <c r="B228" s="354">
        <v>226</v>
      </c>
      <c r="C228" s="208" t="s">
        <v>16</v>
      </c>
      <c r="D228" s="237" t="s">
        <v>625</v>
      </c>
      <c r="E228" s="208"/>
      <c r="F228" s="208" t="s">
        <v>626</v>
      </c>
      <c r="G228" s="203"/>
      <c r="H228" s="203">
        <f t="shared" si="3"/>
        <v>226</v>
      </c>
      <c r="I228" s="208">
        <v>17100</v>
      </c>
      <c r="J228" s="208" t="s">
        <v>33</v>
      </c>
      <c r="K228" s="351"/>
      <c r="L228" s="351"/>
      <c r="M228" s="208"/>
      <c r="N228" s="208"/>
    </row>
    <row r="229" spans="1:14">
      <c r="A229" s="208"/>
      <c r="B229" s="354">
        <v>227</v>
      </c>
      <c r="C229" s="208"/>
      <c r="D229" s="237" t="s">
        <v>627</v>
      </c>
      <c r="E229" s="208"/>
      <c r="F229" s="208" t="s">
        <v>628</v>
      </c>
      <c r="G229" s="203"/>
      <c r="H229" s="203">
        <f t="shared" si="3"/>
        <v>227</v>
      </c>
      <c r="I229" s="208">
        <v>17140</v>
      </c>
      <c r="J229" s="208" t="s">
        <v>629</v>
      </c>
      <c r="K229" s="351">
        <v>546982621</v>
      </c>
      <c r="L229" s="351"/>
      <c r="M229" s="208"/>
      <c r="N229" s="208"/>
    </row>
    <row r="230" spans="1:14">
      <c r="A230" s="208"/>
      <c r="B230" s="354">
        <v>228</v>
      </c>
      <c r="C230" s="208" t="s">
        <v>20</v>
      </c>
      <c r="D230" s="237" t="s">
        <v>630</v>
      </c>
      <c r="E230" s="208" t="s">
        <v>70</v>
      </c>
      <c r="F230" s="208" t="s">
        <v>631</v>
      </c>
      <c r="G230" s="203"/>
      <c r="H230" s="203">
        <f t="shared" si="3"/>
        <v>228</v>
      </c>
      <c r="I230" s="208">
        <v>17100</v>
      </c>
      <c r="J230" s="208" t="s">
        <v>33</v>
      </c>
      <c r="K230" s="351"/>
      <c r="L230" s="351"/>
      <c r="M230" s="208"/>
      <c r="N230" s="208"/>
    </row>
    <row r="231" spans="1:14">
      <c r="A231" s="208"/>
      <c r="B231" s="354">
        <v>229</v>
      </c>
      <c r="C231" s="208" t="s">
        <v>16</v>
      </c>
      <c r="D231" s="237" t="s">
        <v>632</v>
      </c>
      <c r="E231" s="208" t="s">
        <v>633</v>
      </c>
      <c r="F231" s="208" t="s">
        <v>635</v>
      </c>
      <c r="G231" s="203"/>
      <c r="H231" s="203">
        <f t="shared" si="3"/>
        <v>229</v>
      </c>
      <c r="I231" s="208">
        <v>17100</v>
      </c>
      <c r="J231" s="208" t="s">
        <v>33</v>
      </c>
      <c r="K231" s="351" t="s">
        <v>634</v>
      </c>
      <c r="L231" s="351"/>
      <c r="M231" s="208"/>
      <c r="N231" s="208"/>
    </row>
    <row r="232" spans="1:14">
      <c r="A232" s="208"/>
      <c r="B232" s="354">
        <v>230</v>
      </c>
      <c r="C232" s="208" t="s">
        <v>20</v>
      </c>
      <c r="D232" s="237" t="s">
        <v>636</v>
      </c>
      <c r="E232" s="208" t="s">
        <v>637</v>
      </c>
      <c r="F232" s="208" t="s">
        <v>638</v>
      </c>
      <c r="G232" s="203"/>
      <c r="H232" s="203">
        <f t="shared" si="3"/>
        <v>230</v>
      </c>
      <c r="I232" s="208">
        <v>17400</v>
      </c>
      <c r="J232" s="208" t="s">
        <v>520</v>
      </c>
      <c r="K232" s="351"/>
      <c r="L232" s="351"/>
      <c r="M232" s="208"/>
      <c r="N232" s="208"/>
    </row>
    <row r="233" spans="1:14">
      <c r="A233" s="208"/>
      <c r="B233" s="354">
        <v>231</v>
      </c>
      <c r="C233" s="208" t="s">
        <v>20</v>
      </c>
      <c r="D233" s="237" t="s">
        <v>640</v>
      </c>
      <c r="E233" s="208" t="s">
        <v>260</v>
      </c>
      <c r="F233" s="208" t="s">
        <v>639</v>
      </c>
      <c r="G233" s="203"/>
      <c r="H233" s="203">
        <f t="shared" si="3"/>
        <v>231</v>
      </c>
      <c r="I233" s="208">
        <v>17100</v>
      </c>
      <c r="J233" s="208" t="s">
        <v>33</v>
      </c>
      <c r="K233" s="351"/>
      <c r="L233" s="351"/>
      <c r="M233" s="208"/>
      <c r="N233" s="208"/>
    </row>
    <row r="234" spans="1:14">
      <c r="A234" s="208"/>
      <c r="B234" s="354">
        <v>232</v>
      </c>
      <c r="C234" s="208" t="s">
        <v>20</v>
      </c>
      <c r="D234" s="237" t="s">
        <v>641</v>
      </c>
      <c r="E234" s="208" t="s">
        <v>190</v>
      </c>
      <c r="F234" s="208" t="s">
        <v>642</v>
      </c>
      <c r="G234" s="203"/>
      <c r="H234" s="203">
        <f t="shared" si="3"/>
        <v>232</v>
      </c>
      <c r="I234" s="208">
        <v>17610</v>
      </c>
      <c r="J234" s="208" t="s">
        <v>52</v>
      </c>
      <c r="K234" s="351"/>
      <c r="L234" s="351"/>
      <c r="M234" s="208"/>
      <c r="N234" s="208"/>
    </row>
    <row r="235" spans="1:14">
      <c r="A235" s="208"/>
      <c r="B235" s="354">
        <v>233</v>
      </c>
      <c r="C235" s="208" t="s">
        <v>16</v>
      </c>
      <c r="D235" s="237" t="s">
        <v>541</v>
      </c>
      <c r="E235" s="208" t="s">
        <v>643</v>
      </c>
      <c r="F235" s="208" t="s">
        <v>644</v>
      </c>
      <c r="G235" s="203"/>
      <c r="H235" s="203">
        <f t="shared" si="3"/>
        <v>233</v>
      </c>
      <c r="I235" s="208">
        <v>17100</v>
      </c>
      <c r="J235" s="208" t="s">
        <v>33</v>
      </c>
      <c r="K235" s="351">
        <v>546972409</v>
      </c>
      <c r="L235" s="351"/>
      <c r="M235" s="208"/>
      <c r="N235" s="208"/>
    </row>
    <row r="236" spans="1:14">
      <c r="A236" s="208"/>
      <c r="B236" s="354">
        <v>234</v>
      </c>
      <c r="C236" s="208" t="s">
        <v>16</v>
      </c>
      <c r="D236" s="237" t="s">
        <v>645</v>
      </c>
      <c r="E236" s="208"/>
      <c r="F236" s="208" t="s">
        <v>646</v>
      </c>
      <c r="G236" s="203"/>
      <c r="H236" s="203">
        <f t="shared" si="3"/>
        <v>234</v>
      </c>
      <c r="I236" s="208">
        <v>17100</v>
      </c>
      <c r="J236" s="208" t="s">
        <v>33</v>
      </c>
      <c r="K236" s="351"/>
      <c r="L236" s="351"/>
      <c r="M236" s="208"/>
      <c r="N236" s="208"/>
    </row>
    <row r="237" spans="1:14">
      <c r="A237" s="208"/>
      <c r="B237" s="354">
        <v>235</v>
      </c>
      <c r="C237" s="208" t="s">
        <v>61</v>
      </c>
      <c r="D237" s="237" t="s">
        <v>647</v>
      </c>
      <c r="E237" s="208" t="s">
        <v>465</v>
      </c>
      <c r="F237" s="208" t="s">
        <v>648</v>
      </c>
      <c r="G237" s="203"/>
      <c r="H237" s="203">
        <f t="shared" si="3"/>
        <v>235</v>
      </c>
      <c r="I237" s="208">
        <v>17100</v>
      </c>
      <c r="J237" s="208" t="s">
        <v>33</v>
      </c>
      <c r="K237" s="351">
        <v>546920616</v>
      </c>
      <c r="L237" s="351"/>
      <c r="M237" s="208"/>
      <c r="N237" s="208"/>
    </row>
    <row r="238" spans="1:14">
      <c r="A238" s="208"/>
      <c r="B238" s="354">
        <v>236</v>
      </c>
      <c r="C238" s="208" t="s">
        <v>20</v>
      </c>
      <c r="D238" s="237" t="s">
        <v>649</v>
      </c>
      <c r="E238" s="208" t="s">
        <v>342</v>
      </c>
      <c r="F238" s="208" t="s">
        <v>650</v>
      </c>
      <c r="G238" s="203"/>
      <c r="H238" s="203">
        <f t="shared" si="3"/>
        <v>236</v>
      </c>
      <c r="I238" s="208">
        <v>17800</v>
      </c>
      <c r="J238" s="208" t="s">
        <v>220</v>
      </c>
      <c r="K238" s="351">
        <v>546931929</v>
      </c>
      <c r="L238" s="351"/>
      <c r="M238" s="208"/>
      <c r="N238" s="208"/>
    </row>
    <row r="239" spans="1:14">
      <c r="A239" s="208"/>
      <c r="B239" s="354">
        <v>237</v>
      </c>
      <c r="C239" s="208" t="s">
        <v>20</v>
      </c>
      <c r="D239" s="237" t="s">
        <v>651</v>
      </c>
      <c r="E239" s="208" t="s">
        <v>240</v>
      </c>
      <c r="F239" s="208" t="s">
        <v>653</v>
      </c>
      <c r="G239" s="203"/>
      <c r="H239" s="203">
        <f t="shared" si="3"/>
        <v>237</v>
      </c>
      <c r="I239" s="208">
        <v>17260</v>
      </c>
      <c r="J239" s="208" t="s">
        <v>652</v>
      </c>
      <c r="K239" s="351"/>
      <c r="L239" s="351"/>
      <c r="M239" s="208"/>
      <c r="N239" s="208"/>
    </row>
    <row r="240" spans="1:14">
      <c r="A240" s="208"/>
      <c r="B240" s="354">
        <v>238</v>
      </c>
      <c r="C240" s="208" t="s">
        <v>654</v>
      </c>
      <c r="D240" s="237" t="s">
        <v>655</v>
      </c>
      <c r="E240" s="208"/>
      <c r="F240" s="208" t="s">
        <v>656</v>
      </c>
      <c r="G240" s="203"/>
      <c r="H240" s="203">
        <f t="shared" si="3"/>
        <v>238</v>
      </c>
      <c r="I240" s="208">
        <v>17100</v>
      </c>
      <c r="J240" s="208" t="s">
        <v>33</v>
      </c>
      <c r="K240" s="351">
        <v>546977662</v>
      </c>
      <c r="L240" s="351"/>
      <c r="M240" s="208"/>
      <c r="N240" s="357" t="s">
        <v>657</v>
      </c>
    </row>
    <row r="241" spans="1:14">
      <c r="A241" s="208"/>
      <c r="B241" s="354">
        <v>239</v>
      </c>
      <c r="C241" s="208" t="s">
        <v>658</v>
      </c>
      <c r="D241" s="237" t="s">
        <v>336</v>
      </c>
      <c r="E241" s="208"/>
      <c r="F241" s="208" t="s">
        <v>659</v>
      </c>
      <c r="G241" s="203"/>
      <c r="H241" s="203">
        <f t="shared" si="3"/>
        <v>239</v>
      </c>
      <c r="I241" s="208">
        <v>17810</v>
      </c>
      <c r="J241" s="208" t="s">
        <v>192</v>
      </c>
      <c r="K241" s="351"/>
      <c r="L241" s="351"/>
      <c r="M241" s="208"/>
      <c r="N241" s="208"/>
    </row>
    <row r="242" spans="1:14">
      <c r="A242" s="208"/>
      <c r="B242" s="354">
        <v>240</v>
      </c>
      <c r="C242" s="208" t="s">
        <v>16</v>
      </c>
      <c r="D242" s="237" t="s">
        <v>660</v>
      </c>
      <c r="E242" s="208"/>
      <c r="F242" s="208" t="s">
        <v>661</v>
      </c>
      <c r="G242" s="203"/>
      <c r="H242" s="203">
        <f t="shared" si="3"/>
        <v>240</v>
      </c>
      <c r="I242" s="208">
        <v>17610</v>
      </c>
      <c r="J242" s="208" t="s">
        <v>662</v>
      </c>
      <c r="K242" s="351"/>
      <c r="L242" s="351"/>
      <c r="M242" s="208"/>
      <c r="N242" s="208"/>
    </row>
    <row r="243" spans="1:14">
      <c r="A243" s="208"/>
      <c r="B243" s="354">
        <v>241</v>
      </c>
      <c r="C243" s="208" t="s">
        <v>61</v>
      </c>
      <c r="D243" s="237" t="s">
        <v>663</v>
      </c>
      <c r="E243" s="208" t="s">
        <v>664</v>
      </c>
      <c r="F243" s="208" t="s">
        <v>665</v>
      </c>
      <c r="G243" s="203"/>
      <c r="H243" s="203">
        <f t="shared" si="3"/>
        <v>241</v>
      </c>
      <c r="I243" s="208">
        <v>17100</v>
      </c>
      <c r="J243" s="208" t="s">
        <v>33</v>
      </c>
      <c r="K243" s="351">
        <v>546743097</v>
      </c>
      <c r="L243" s="351"/>
      <c r="M243" s="208"/>
      <c r="N243" s="208"/>
    </row>
    <row r="244" spans="1:14">
      <c r="A244" s="208"/>
      <c r="B244" s="354">
        <v>242</v>
      </c>
      <c r="C244" s="208" t="s">
        <v>61</v>
      </c>
      <c r="D244" s="237" t="s">
        <v>349</v>
      </c>
      <c r="E244" s="208" t="s">
        <v>342</v>
      </c>
      <c r="F244" s="208" t="s">
        <v>666</v>
      </c>
      <c r="G244" s="203"/>
      <c r="H244" s="203">
        <f t="shared" si="3"/>
        <v>242</v>
      </c>
      <c r="I244" s="208">
        <v>17100</v>
      </c>
      <c r="J244" s="208" t="s">
        <v>33</v>
      </c>
      <c r="K244" s="351"/>
      <c r="L244" s="351"/>
      <c r="M244" s="208"/>
      <c r="N244" s="208"/>
    </row>
    <row r="245" spans="1:14">
      <c r="A245" s="208"/>
      <c r="B245" s="354">
        <v>243</v>
      </c>
      <c r="C245" s="208"/>
      <c r="D245" s="237" t="s">
        <v>667</v>
      </c>
      <c r="E245" s="208"/>
      <c r="F245" s="208" t="s">
        <v>668</v>
      </c>
      <c r="G245" s="203"/>
      <c r="H245" s="203">
        <f t="shared" si="3"/>
        <v>243</v>
      </c>
      <c r="I245" s="208">
        <v>33100</v>
      </c>
      <c r="J245" s="208" t="s">
        <v>101</v>
      </c>
      <c r="K245" s="351"/>
      <c r="L245" s="351"/>
      <c r="M245" s="208"/>
      <c r="N245" s="208"/>
    </row>
    <row r="246" spans="1:14">
      <c r="A246" s="208"/>
      <c r="B246" s="354">
        <v>244</v>
      </c>
      <c r="C246" s="208" t="s">
        <v>16</v>
      </c>
      <c r="D246" s="237" t="s">
        <v>669</v>
      </c>
      <c r="E246" s="208"/>
      <c r="F246" s="208" t="s">
        <v>670</v>
      </c>
      <c r="G246" s="203"/>
      <c r="H246" s="203">
        <f t="shared" si="3"/>
        <v>244</v>
      </c>
      <c r="I246" s="208">
        <v>17810</v>
      </c>
      <c r="J246" s="208" t="s">
        <v>55</v>
      </c>
      <c r="K246" s="351">
        <v>546907179</v>
      </c>
      <c r="L246" s="351"/>
      <c r="M246" s="208"/>
      <c r="N246" s="208"/>
    </row>
    <row r="247" spans="1:14">
      <c r="A247" s="208"/>
      <c r="B247" s="354">
        <v>245</v>
      </c>
      <c r="C247" s="208" t="s">
        <v>16</v>
      </c>
      <c r="D247" s="237" t="s">
        <v>671</v>
      </c>
      <c r="E247" s="208" t="s">
        <v>672</v>
      </c>
      <c r="F247" s="208" t="s">
        <v>673</v>
      </c>
      <c r="G247" s="203"/>
      <c r="H247" s="203">
        <f t="shared" si="3"/>
        <v>245</v>
      </c>
      <c r="I247" s="208">
        <v>17610</v>
      </c>
      <c r="J247" s="208" t="s">
        <v>52</v>
      </c>
      <c r="K247" s="351"/>
      <c r="L247" s="351"/>
      <c r="M247" s="208"/>
      <c r="N247" s="208"/>
    </row>
    <row r="248" spans="1:14">
      <c r="A248" s="208"/>
      <c r="B248" s="354">
        <v>246</v>
      </c>
      <c r="C248" s="208" t="s">
        <v>20</v>
      </c>
      <c r="D248" s="237" t="s">
        <v>674</v>
      </c>
      <c r="E248" s="208"/>
      <c r="F248" s="208" t="s">
        <v>675</v>
      </c>
      <c r="G248" s="203"/>
      <c r="H248" s="203">
        <f t="shared" si="3"/>
        <v>246</v>
      </c>
      <c r="I248" s="208">
        <v>17100</v>
      </c>
      <c r="J248" s="208" t="s">
        <v>33</v>
      </c>
      <c r="K248" s="351"/>
      <c r="L248" s="351"/>
      <c r="M248" s="208"/>
      <c r="N248" s="208"/>
    </row>
    <row r="249" spans="1:14">
      <c r="A249" s="208"/>
      <c r="B249" s="354">
        <v>247</v>
      </c>
      <c r="C249" s="208" t="s">
        <v>61</v>
      </c>
      <c r="D249" s="237" t="s">
        <v>155</v>
      </c>
      <c r="E249" s="208" t="s">
        <v>153</v>
      </c>
      <c r="F249" s="208" t="s">
        <v>676</v>
      </c>
      <c r="G249" s="203"/>
      <c r="H249" s="203">
        <f t="shared" si="3"/>
        <v>247</v>
      </c>
      <c r="I249" s="208">
        <v>17100</v>
      </c>
      <c r="J249" s="208" t="s">
        <v>32</v>
      </c>
      <c r="K249" s="351"/>
      <c r="L249" s="351"/>
      <c r="M249" s="208"/>
      <c r="N249" s="208"/>
    </row>
    <row r="250" spans="1:14">
      <c r="A250" s="208"/>
      <c r="B250" s="354">
        <v>248</v>
      </c>
      <c r="C250" s="208" t="s">
        <v>16</v>
      </c>
      <c r="D250" s="237" t="s">
        <v>677</v>
      </c>
      <c r="E250" s="208" t="s">
        <v>678</v>
      </c>
      <c r="F250" s="208" t="s">
        <v>679</v>
      </c>
      <c r="G250" s="203"/>
      <c r="H250" s="203">
        <f t="shared" si="3"/>
        <v>248</v>
      </c>
      <c r="I250" s="208">
        <v>17800</v>
      </c>
      <c r="J250" s="208" t="s">
        <v>680</v>
      </c>
      <c r="K250" s="351"/>
      <c r="L250" s="351"/>
      <c r="M250" s="208"/>
      <c r="N250" s="208"/>
    </row>
    <row r="251" spans="1:14">
      <c r="A251" s="208"/>
      <c r="B251" s="354">
        <v>249</v>
      </c>
      <c r="C251" s="208" t="s">
        <v>61</v>
      </c>
      <c r="D251" s="237" t="s">
        <v>681</v>
      </c>
      <c r="E251" s="208" t="s">
        <v>190</v>
      </c>
      <c r="F251" s="208" t="s">
        <v>682</v>
      </c>
      <c r="G251" s="203"/>
      <c r="H251" s="203">
        <f t="shared" si="3"/>
        <v>249</v>
      </c>
      <c r="I251" s="208">
        <v>17810</v>
      </c>
      <c r="J251" s="208" t="s">
        <v>287</v>
      </c>
      <c r="K251" s="351"/>
      <c r="L251" s="351"/>
      <c r="M251" s="208"/>
      <c r="N251" s="208"/>
    </row>
    <row r="252" spans="1:14">
      <c r="A252" s="208"/>
      <c r="B252" s="354">
        <v>250</v>
      </c>
      <c r="C252" s="208" t="s">
        <v>20</v>
      </c>
      <c r="D252" s="237" t="s">
        <v>683</v>
      </c>
      <c r="E252" s="208"/>
      <c r="F252" s="208" t="s">
        <v>685</v>
      </c>
      <c r="G252" s="203"/>
      <c r="H252" s="203">
        <f t="shared" si="3"/>
        <v>250</v>
      </c>
      <c r="I252" s="208">
        <v>17770</v>
      </c>
      <c r="J252" s="208" t="s">
        <v>684</v>
      </c>
      <c r="K252" s="351"/>
      <c r="L252" s="351"/>
      <c r="M252" s="208"/>
      <c r="N252" s="208"/>
    </row>
    <row r="253" spans="1:14">
      <c r="A253" s="208"/>
      <c r="B253" s="354">
        <v>251</v>
      </c>
      <c r="C253" s="208" t="s">
        <v>16</v>
      </c>
      <c r="D253" s="237" t="s">
        <v>686</v>
      </c>
      <c r="E253" s="208"/>
      <c r="F253" s="208" t="s">
        <v>687</v>
      </c>
      <c r="G253" s="203"/>
      <c r="H253" s="203">
        <f t="shared" si="3"/>
        <v>251</v>
      </c>
      <c r="I253" s="208">
        <v>17610</v>
      </c>
      <c r="J253" s="208" t="s">
        <v>379</v>
      </c>
      <c r="K253" s="351"/>
      <c r="L253" s="351"/>
      <c r="M253" s="208"/>
      <c r="N253" s="208"/>
    </row>
    <row r="254" spans="1:14">
      <c r="A254" s="208"/>
      <c r="B254" s="354">
        <v>252</v>
      </c>
      <c r="C254" s="208" t="s">
        <v>61</v>
      </c>
      <c r="D254" s="237" t="s">
        <v>688</v>
      </c>
      <c r="E254" s="208"/>
      <c r="F254" s="208" t="s">
        <v>689</v>
      </c>
      <c r="G254" s="203"/>
      <c r="H254" s="203">
        <f t="shared" si="3"/>
        <v>252</v>
      </c>
      <c r="I254" s="208">
        <v>17100</v>
      </c>
      <c r="J254" s="208" t="s">
        <v>33</v>
      </c>
      <c r="K254" s="351"/>
      <c r="L254" s="351"/>
      <c r="M254" s="208"/>
      <c r="N254" s="208"/>
    </row>
    <row r="255" spans="1:14">
      <c r="A255" s="208"/>
      <c r="B255" s="354">
        <v>253</v>
      </c>
      <c r="C255" s="208" t="s">
        <v>16</v>
      </c>
      <c r="D255" s="237" t="s">
        <v>873</v>
      </c>
      <c r="E255" s="208"/>
      <c r="F255" s="208" t="s">
        <v>690</v>
      </c>
      <c r="G255" s="203"/>
      <c r="H255" s="203">
        <f t="shared" si="3"/>
        <v>253</v>
      </c>
      <c r="I255" s="208">
        <v>17610</v>
      </c>
      <c r="J255" s="208" t="s">
        <v>52</v>
      </c>
      <c r="K255" s="351"/>
      <c r="L255" s="351"/>
      <c r="M255" s="208"/>
      <c r="N255" s="208"/>
    </row>
    <row r="256" spans="1:14">
      <c r="A256" s="208"/>
      <c r="B256" s="354">
        <v>254</v>
      </c>
      <c r="C256" s="208" t="s">
        <v>20</v>
      </c>
      <c r="D256" s="237" t="s">
        <v>691</v>
      </c>
      <c r="E256" s="208"/>
      <c r="F256" s="208" t="s">
        <v>692</v>
      </c>
      <c r="G256" s="203"/>
      <c r="H256" s="203">
        <f t="shared" si="3"/>
        <v>254</v>
      </c>
      <c r="I256" s="208">
        <v>17610</v>
      </c>
      <c r="J256" s="208" t="s">
        <v>52</v>
      </c>
      <c r="K256" s="351"/>
      <c r="L256" s="351"/>
      <c r="M256" s="208"/>
      <c r="N256" s="208"/>
    </row>
    <row r="257" spans="1:14">
      <c r="A257" s="208"/>
      <c r="B257" s="354">
        <v>255</v>
      </c>
      <c r="C257" s="208" t="s">
        <v>20</v>
      </c>
      <c r="D257" s="237" t="s">
        <v>693</v>
      </c>
      <c r="E257" s="208" t="s">
        <v>70</v>
      </c>
      <c r="F257" s="208" t="s">
        <v>694</v>
      </c>
      <c r="G257" s="203"/>
      <c r="H257" s="203">
        <f t="shared" si="3"/>
        <v>255</v>
      </c>
      <c r="I257" s="208">
        <v>17610</v>
      </c>
      <c r="J257" s="208" t="s">
        <v>662</v>
      </c>
      <c r="K257" s="351"/>
      <c r="L257" s="351"/>
      <c r="M257" s="208"/>
      <c r="N257" s="208"/>
    </row>
    <row r="258" spans="1:14">
      <c r="A258" s="208"/>
      <c r="B258" s="354">
        <v>256</v>
      </c>
      <c r="C258" s="208" t="s">
        <v>16</v>
      </c>
      <c r="D258" s="237" t="s">
        <v>695</v>
      </c>
      <c r="E258" s="208" t="s">
        <v>696</v>
      </c>
      <c r="F258" s="208" t="s">
        <v>697</v>
      </c>
      <c r="G258" s="203"/>
      <c r="H258" s="203">
        <f t="shared" si="3"/>
        <v>256</v>
      </c>
      <c r="I258" s="208">
        <v>17100</v>
      </c>
      <c r="J258" s="208" t="s">
        <v>104</v>
      </c>
      <c r="K258" s="351"/>
      <c r="L258" s="351"/>
      <c r="M258" s="208"/>
      <c r="N258" s="208"/>
    </row>
    <row r="259" spans="1:14">
      <c r="A259" s="208"/>
      <c r="B259" s="354">
        <v>257</v>
      </c>
      <c r="C259" s="208" t="s">
        <v>61</v>
      </c>
      <c r="D259" s="237" t="s">
        <v>698</v>
      </c>
      <c r="E259" s="208" t="s">
        <v>92</v>
      </c>
      <c r="F259" s="208" t="s">
        <v>699</v>
      </c>
      <c r="G259" s="203"/>
      <c r="H259" s="203">
        <f t="shared" si="3"/>
        <v>257</v>
      </c>
      <c r="I259" s="208">
        <v>17100</v>
      </c>
      <c r="J259" s="208" t="s">
        <v>33</v>
      </c>
      <c r="K259" s="351"/>
      <c r="L259" s="351"/>
      <c r="M259" s="208"/>
      <c r="N259" s="208"/>
    </row>
    <row r="260" spans="1:14">
      <c r="A260" s="208"/>
      <c r="B260" s="354">
        <v>258</v>
      </c>
      <c r="C260" s="208" t="s">
        <v>16</v>
      </c>
      <c r="D260" s="237" t="s">
        <v>700</v>
      </c>
      <c r="E260" s="208" t="s">
        <v>747</v>
      </c>
      <c r="F260" s="208" t="s">
        <v>940</v>
      </c>
      <c r="G260" s="203"/>
      <c r="H260" s="203">
        <f t="shared" ref="H260:H323" si="4">B260</f>
        <v>258</v>
      </c>
      <c r="I260" s="208">
        <v>17100</v>
      </c>
      <c r="J260" s="208" t="s">
        <v>33</v>
      </c>
      <c r="K260" s="351"/>
      <c r="L260" s="351"/>
      <c r="M260" s="208"/>
      <c r="N260" s="208"/>
    </row>
    <row r="261" spans="1:14">
      <c r="A261" s="208"/>
      <c r="B261" s="354">
        <v>259</v>
      </c>
      <c r="C261" s="208" t="s">
        <v>61</v>
      </c>
      <c r="D261" s="237" t="s">
        <v>701</v>
      </c>
      <c r="E261" s="208" t="s">
        <v>260</v>
      </c>
      <c r="F261" s="208" t="s">
        <v>702</v>
      </c>
      <c r="G261" s="203"/>
      <c r="H261" s="203">
        <f t="shared" si="4"/>
        <v>259</v>
      </c>
      <c r="I261" s="208">
        <v>17100</v>
      </c>
      <c r="J261" s="208" t="s">
        <v>33</v>
      </c>
      <c r="K261" s="351"/>
      <c r="L261" s="351"/>
      <c r="M261" s="208"/>
      <c r="N261" s="208"/>
    </row>
    <row r="262" spans="1:14">
      <c r="A262" s="208"/>
      <c r="B262" s="354">
        <v>260</v>
      </c>
      <c r="C262" s="208" t="s">
        <v>61</v>
      </c>
      <c r="D262" s="237" t="s">
        <v>703</v>
      </c>
      <c r="E262" s="208"/>
      <c r="F262" s="208" t="s">
        <v>704</v>
      </c>
      <c r="G262" s="203"/>
      <c r="H262" s="203">
        <f t="shared" si="4"/>
        <v>260</v>
      </c>
      <c r="I262" s="208">
        <v>17770</v>
      </c>
      <c r="J262" s="208" t="s">
        <v>705</v>
      </c>
      <c r="K262" s="351"/>
      <c r="L262" s="351"/>
      <c r="M262" s="208"/>
      <c r="N262" s="208"/>
    </row>
    <row r="263" spans="1:14">
      <c r="A263" s="208"/>
      <c r="B263" s="354">
        <v>261</v>
      </c>
      <c r="C263" s="208" t="s">
        <v>707</v>
      </c>
      <c r="D263" s="237" t="s">
        <v>708</v>
      </c>
      <c r="E263" s="208" t="s">
        <v>709</v>
      </c>
      <c r="F263" s="208" t="s">
        <v>976</v>
      </c>
      <c r="G263" s="203"/>
      <c r="H263" s="203">
        <f t="shared" si="4"/>
        <v>261</v>
      </c>
      <c r="I263" s="208">
        <v>17810</v>
      </c>
      <c r="J263" s="208" t="s">
        <v>192</v>
      </c>
      <c r="K263" s="351"/>
      <c r="L263" s="351"/>
      <c r="M263" s="208"/>
      <c r="N263" s="208"/>
    </row>
    <row r="264" spans="1:14">
      <c r="A264" s="208"/>
      <c r="B264" s="354">
        <v>262</v>
      </c>
      <c r="C264" s="208" t="s">
        <v>20</v>
      </c>
      <c r="D264" s="237" t="s">
        <v>189</v>
      </c>
      <c r="E264" s="208" t="s">
        <v>710</v>
      </c>
      <c r="F264" s="208" t="s">
        <v>711</v>
      </c>
      <c r="G264" s="203"/>
      <c r="H264" s="203">
        <f t="shared" si="4"/>
        <v>262</v>
      </c>
      <c r="I264" s="208">
        <v>17610</v>
      </c>
      <c r="J264" s="208" t="s">
        <v>52</v>
      </c>
      <c r="K264" s="351"/>
      <c r="L264" s="351"/>
      <c r="M264" s="208"/>
      <c r="N264" s="208"/>
    </row>
    <row r="265" spans="1:14">
      <c r="A265" s="208" t="s">
        <v>712</v>
      </c>
      <c r="B265" s="354">
        <v>263</v>
      </c>
      <c r="C265" s="208" t="s">
        <v>68</v>
      </c>
      <c r="D265" s="237" t="s">
        <v>713</v>
      </c>
      <c r="E265" s="208"/>
      <c r="F265" s="208" t="s">
        <v>714</v>
      </c>
      <c r="G265" s="203"/>
      <c r="H265" s="203">
        <f t="shared" si="4"/>
        <v>263</v>
      </c>
      <c r="I265" s="208">
        <v>17770</v>
      </c>
      <c r="J265" s="208" t="s">
        <v>385</v>
      </c>
      <c r="K265" s="351"/>
      <c r="L265" s="351"/>
      <c r="M265" s="208"/>
      <c r="N265" s="208"/>
    </row>
    <row r="266" spans="1:14">
      <c r="A266" s="208"/>
      <c r="B266" s="354">
        <v>264</v>
      </c>
      <c r="C266" s="208" t="s">
        <v>68</v>
      </c>
      <c r="D266" s="237" t="s">
        <v>715</v>
      </c>
      <c r="E266" s="208" t="s">
        <v>716</v>
      </c>
      <c r="F266" s="208" t="s">
        <v>717</v>
      </c>
      <c r="G266" s="203"/>
      <c r="H266" s="203">
        <f t="shared" si="4"/>
        <v>264</v>
      </c>
      <c r="I266" s="208">
        <v>17100</v>
      </c>
      <c r="J266" s="208" t="s">
        <v>265</v>
      </c>
      <c r="K266" s="351"/>
      <c r="L266" s="351"/>
      <c r="M266" s="208"/>
      <c r="N266" s="208"/>
    </row>
    <row r="267" spans="1:14">
      <c r="A267" s="208"/>
      <c r="B267" s="354">
        <v>265</v>
      </c>
      <c r="C267" s="208" t="s">
        <v>20</v>
      </c>
      <c r="D267" s="237" t="s">
        <v>718</v>
      </c>
      <c r="E267" s="208" t="s">
        <v>719</v>
      </c>
      <c r="F267" s="208" t="s">
        <v>720</v>
      </c>
      <c r="G267" s="203"/>
      <c r="H267" s="203">
        <f t="shared" si="4"/>
        <v>265</v>
      </c>
      <c r="I267" s="208">
        <v>17470</v>
      </c>
      <c r="J267" s="208" t="s">
        <v>721</v>
      </c>
      <c r="K267" s="351"/>
      <c r="L267" s="351"/>
      <c r="M267" s="208"/>
      <c r="N267" s="208"/>
    </row>
    <row r="268" spans="1:14">
      <c r="A268" s="208"/>
      <c r="B268" s="354">
        <v>266</v>
      </c>
      <c r="C268" s="208" t="s">
        <v>61</v>
      </c>
      <c r="D268" s="237" t="s">
        <v>722</v>
      </c>
      <c r="E268" s="208" t="s">
        <v>274</v>
      </c>
      <c r="F268" s="208" t="s">
        <v>723</v>
      </c>
      <c r="G268" s="203"/>
      <c r="H268" s="203">
        <f t="shared" si="4"/>
        <v>266</v>
      </c>
      <c r="I268" s="208">
        <v>17460</v>
      </c>
      <c r="J268" s="208" t="s">
        <v>294</v>
      </c>
      <c r="K268" s="351"/>
      <c r="L268" s="351"/>
      <c r="M268" s="208"/>
      <c r="N268" s="208"/>
    </row>
    <row r="269" spans="1:14">
      <c r="A269" s="208"/>
      <c r="B269" s="354">
        <v>267</v>
      </c>
      <c r="C269" s="208" t="s">
        <v>61</v>
      </c>
      <c r="D269" s="237" t="s">
        <v>724</v>
      </c>
      <c r="E269" s="208" t="s">
        <v>257</v>
      </c>
      <c r="F269" s="208" t="s">
        <v>725</v>
      </c>
      <c r="G269" s="203"/>
      <c r="H269" s="203">
        <f t="shared" si="4"/>
        <v>267</v>
      </c>
      <c r="I269" s="208">
        <v>17100</v>
      </c>
      <c r="J269" s="208" t="s">
        <v>32</v>
      </c>
      <c r="K269" s="351"/>
      <c r="L269" s="351"/>
      <c r="M269" s="208"/>
      <c r="N269" s="208"/>
    </row>
    <row r="270" spans="1:14">
      <c r="A270" s="208"/>
      <c r="B270" s="354">
        <v>268</v>
      </c>
      <c r="C270" s="208" t="s">
        <v>20</v>
      </c>
      <c r="D270" s="237" t="s">
        <v>726</v>
      </c>
      <c r="E270" s="208" t="s">
        <v>727</v>
      </c>
      <c r="F270" s="208" t="s">
        <v>728</v>
      </c>
      <c r="G270" s="203"/>
      <c r="H270" s="203">
        <f t="shared" si="4"/>
        <v>268</v>
      </c>
      <c r="I270" s="208">
        <v>17100</v>
      </c>
      <c r="J270" s="208" t="s">
        <v>32</v>
      </c>
      <c r="K270" s="351">
        <v>546915509</v>
      </c>
      <c r="L270" s="351"/>
      <c r="M270" s="208"/>
      <c r="N270" s="208"/>
    </row>
    <row r="271" spans="1:14">
      <c r="A271" s="208"/>
      <c r="B271" s="354">
        <v>269</v>
      </c>
      <c r="C271" s="208" t="s">
        <v>20</v>
      </c>
      <c r="D271" s="237" t="s">
        <v>729</v>
      </c>
      <c r="E271" s="208"/>
      <c r="F271" s="208" t="s">
        <v>730</v>
      </c>
      <c r="G271" s="203"/>
      <c r="H271" s="203">
        <f t="shared" si="4"/>
        <v>269</v>
      </c>
      <c r="I271" s="208">
        <v>17100</v>
      </c>
      <c r="J271" s="208" t="s">
        <v>372</v>
      </c>
      <c r="K271" s="351"/>
      <c r="L271" s="351"/>
      <c r="M271" s="208"/>
      <c r="N271" s="208"/>
    </row>
    <row r="272" spans="1:14">
      <c r="A272" s="208"/>
      <c r="B272" s="354">
        <v>270</v>
      </c>
      <c r="C272" s="208" t="s">
        <v>47</v>
      </c>
      <c r="D272" s="237" t="s">
        <v>731</v>
      </c>
      <c r="E272" s="208"/>
      <c r="F272" s="208" t="s">
        <v>732</v>
      </c>
      <c r="G272" s="203"/>
      <c r="H272" s="203">
        <f t="shared" si="4"/>
        <v>270</v>
      </c>
      <c r="I272" s="208">
        <v>17100</v>
      </c>
      <c r="J272" s="208" t="s">
        <v>33</v>
      </c>
      <c r="K272" s="351"/>
      <c r="L272" s="351"/>
      <c r="M272" s="208"/>
      <c r="N272" s="208"/>
    </row>
    <row r="273" spans="1:14">
      <c r="A273" s="208"/>
      <c r="B273" s="354">
        <v>271</v>
      </c>
      <c r="C273" s="208" t="s">
        <v>20</v>
      </c>
      <c r="D273" s="237" t="s">
        <v>21</v>
      </c>
      <c r="E273" s="208" t="s">
        <v>562</v>
      </c>
      <c r="F273" s="208" t="s">
        <v>733</v>
      </c>
      <c r="G273" s="203"/>
      <c r="H273" s="203">
        <f t="shared" si="4"/>
        <v>271</v>
      </c>
      <c r="I273" s="208">
        <v>16100</v>
      </c>
      <c r="J273" s="208" t="s">
        <v>178</v>
      </c>
      <c r="K273" s="351"/>
      <c r="L273" s="351"/>
      <c r="M273" s="208"/>
      <c r="N273" s="208"/>
    </row>
    <row r="274" spans="1:14">
      <c r="A274" s="208"/>
      <c r="B274" s="354">
        <v>272</v>
      </c>
      <c r="C274" s="208" t="s">
        <v>16</v>
      </c>
      <c r="D274" s="237" t="s">
        <v>734</v>
      </c>
      <c r="E274" s="208"/>
      <c r="F274" s="208" t="s">
        <v>735</v>
      </c>
      <c r="G274" s="203"/>
      <c r="H274" s="203">
        <f t="shared" si="4"/>
        <v>272</v>
      </c>
      <c r="I274" s="208">
        <v>17100</v>
      </c>
      <c r="J274" s="208" t="s">
        <v>33</v>
      </c>
      <c r="K274" s="351"/>
      <c r="L274" s="351"/>
      <c r="M274" s="208"/>
      <c r="N274" s="208"/>
    </row>
    <row r="275" spans="1:14">
      <c r="A275" s="208"/>
      <c r="B275" s="354">
        <v>273</v>
      </c>
      <c r="C275" s="208" t="s">
        <v>736</v>
      </c>
      <c r="D275" s="237" t="s">
        <v>737</v>
      </c>
      <c r="E275" s="208"/>
      <c r="F275" s="208" t="s">
        <v>738</v>
      </c>
      <c r="G275" s="203"/>
      <c r="H275" s="203">
        <f t="shared" si="4"/>
        <v>273</v>
      </c>
      <c r="I275" s="208">
        <v>17460</v>
      </c>
      <c r="J275" s="208" t="s">
        <v>739</v>
      </c>
      <c r="K275" s="351"/>
      <c r="L275" s="351"/>
      <c r="M275" s="208"/>
      <c r="N275" s="208"/>
    </row>
    <row r="276" spans="1:14">
      <c r="A276" s="208"/>
      <c r="B276" s="354">
        <v>274</v>
      </c>
      <c r="C276" s="208" t="s">
        <v>61</v>
      </c>
      <c r="D276" s="237" t="s">
        <v>349</v>
      </c>
      <c r="E276" s="208" t="s">
        <v>153</v>
      </c>
      <c r="F276" s="208" t="s">
        <v>350</v>
      </c>
      <c r="G276" s="203"/>
      <c r="H276" s="203">
        <f t="shared" si="4"/>
        <v>274</v>
      </c>
      <c r="I276" s="208">
        <v>17100</v>
      </c>
      <c r="J276" s="208" t="s">
        <v>104</v>
      </c>
      <c r="K276" s="351"/>
      <c r="L276" s="351"/>
      <c r="M276" s="208"/>
      <c r="N276" s="208"/>
    </row>
    <row r="277" spans="1:14">
      <c r="A277" s="208"/>
      <c r="B277" s="354">
        <v>275</v>
      </c>
      <c r="C277" s="208" t="s">
        <v>20</v>
      </c>
      <c r="D277" s="237" t="s">
        <v>741</v>
      </c>
      <c r="E277" s="208"/>
      <c r="F277" s="208" t="s">
        <v>742</v>
      </c>
      <c r="G277" s="203"/>
      <c r="H277" s="203">
        <f t="shared" si="4"/>
        <v>275</v>
      </c>
      <c r="I277" s="208">
        <v>17770</v>
      </c>
      <c r="J277" s="208" t="s">
        <v>743</v>
      </c>
      <c r="K277" s="351"/>
      <c r="L277" s="351"/>
      <c r="M277" s="208"/>
      <c r="N277" s="208"/>
    </row>
    <row r="278" spans="1:14">
      <c r="A278" s="208"/>
      <c r="B278" s="354">
        <v>276</v>
      </c>
      <c r="C278" s="208" t="s">
        <v>16</v>
      </c>
      <c r="D278" s="237" t="s">
        <v>744</v>
      </c>
      <c r="E278" s="208"/>
      <c r="F278" s="208" t="s">
        <v>745</v>
      </c>
      <c r="G278" s="203"/>
      <c r="H278" s="203">
        <f t="shared" si="4"/>
        <v>276</v>
      </c>
      <c r="I278" s="208">
        <v>17100</v>
      </c>
      <c r="J278" s="208" t="s">
        <v>33</v>
      </c>
      <c r="K278" s="351"/>
      <c r="L278" s="351"/>
      <c r="M278" s="208"/>
      <c r="N278" s="208"/>
    </row>
    <row r="279" spans="1:14">
      <c r="A279" s="208"/>
      <c r="B279" s="354">
        <v>277</v>
      </c>
      <c r="C279" s="208" t="s">
        <v>16</v>
      </c>
      <c r="D279" s="237" t="s">
        <v>746</v>
      </c>
      <c r="E279" s="208" t="s">
        <v>747</v>
      </c>
      <c r="F279" s="208" t="s">
        <v>748</v>
      </c>
      <c r="G279" s="203"/>
      <c r="H279" s="203">
        <f t="shared" si="4"/>
        <v>277</v>
      </c>
      <c r="I279" s="208">
        <v>17100</v>
      </c>
      <c r="J279" s="208" t="s">
        <v>32</v>
      </c>
      <c r="K279" s="351"/>
      <c r="L279" s="351">
        <v>612210796</v>
      </c>
      <c r="M279" s="208"/>
      <c r="N279" s="208"/>
    </row>
    <row r="280" spans="1:14">
      <c r="A280" s="208"/>
      <c r="B280" s="354">
        <v>278</v>
      </c>
      <c r="C280" s="208" t="s">
        <v>61</v>
      </c>
      <c r="D280" s="237" t="s">
        <v>749</v>
      </c>
      <c r="E280" s="208"/>
      <c r="F280" s="208" t="s">
        <v>750</v>
      </c>
      <c r="G280" s="203"/>
      <c r="H280" s="203">
        <f t="shared" si="4"/>
        <v>278</v>
      </c>
      <c r="I280" s="208">
        <v>17100</v>
      </c>
      <c r="J280" s="208" t="s">
        <v>33</v>
      </c>
      <c r="K280" s="351"/>
      <c r="L280" s="351">
        <v>546935618</v>
      </c>
      <c r="M280" s="208"/>
      <c r="N280" s="208"/>
    </row>
    <row r="281" spans="1:14">
      <c r="A281" s="208"/>
      <c r="B281" s="354">
        <v>279</v>
      </c>
      <c r="C281" s="208" t="s">
        <v>61</v>
      </c>
      <c r="D281" s="237" t="s">
        <v>751</v>
      </c>
      <c r="E281" s="208"/>
      <c r="F281" s="208" t="s">
        <v>752</v>
      </c>
      <c r="G281" s="203"/>
      <c r="H281" s="203">
        <f t="shared" si="4"/>
        <v>279</v>
      </c>
      <c r="I281" s="208">
        <v>17770</v>
      </c>
      <c r="J281" s="208" t="s">
        <v>684</v>
      </c>
      <c r="K281" s="351"/>
      <c r="L281" s="351"/>
      <c r="M281" s="208"/>
      <c r="N281" s="208"/>
    </row>
    <row r="282" spans="1:14">
      <c r="A282" s="208"/>
      <c r="B282" s="354">
        <v>280</v>
      </c>
      <c r="C282" s="208" t="s">
        <v>20</v>
      </c>
      <c r="D282" s="237" t="s">
        <v>753</v>
      </c>
      <c r="E282" s="208" t="s">
        <v>57</v>
      </c>
      <c r="F282" s="208" t="s">
        <v>754</v>
      </c>
      <c r="G282" s="203"/>
      <c r="H282" s="203">
        <f t="shared" si="4"/>
        <v>280</v>
      </c>
      <c r="I282" s="208">
        <v>17100</v>
      </c>
      <c r="J282" s="208" t="s">
        <v>188</v>
      </c>
      <c r="K282" s="351"/>
      <c r="L282" s="351"/>
      <c r="M282" s="208"/>
      <c r="N282" s="208"/>
    </row>
    <row r="283" spans="1:14">
      <c r="A283" s="208"/>
      <c r="B283" s="354">
        <v>281</v>
      </c>
      <c r="C283" s="208" t="s">
        <v>20</v>
      </c>
      <c r="D283" s="237" t="s">
        <v>757</v>
      </c>
      <c r="E283" s="208" t="s">
        <v>758</v>
      </c>
      <c r="F283" s="208" t="s">
        <v>756</v>
      </c>
      <c r="G283" s="203"/>
      <c r="H283" s="203">
        <f t="shared" si="4"/>
        <v>281</v>
      </c>
      <c r="I283" s="208">
        <v>17100</v>
      </c>
      <c r="J283" s="208" t="s">
        <v>33</v>
      </c>
      <c r="K283" s="351"/>
      <c r="L283" s="351"/>
      <c r="M283" s="208"/>
      <c r="N283" s="208"/>
    </row>
    <row r="284" spans="1:14">
      <c r="A284" s="208"/>
      <c r="B284" s="354">
        <v>282</v>
      </c>
      <c r="C284" s="208" t="s">
        <v>20</v>
      </c>
      <c r="D284" s="237" t="s">
        <v>759</v>
      </c>
      <c r="E284" s="208"/>
      <c r="F284" s="208" t="s">
        <v>760</v>
      </c>
      <c r="G284" s="203"/>
      <c r="H284" s="203">
        <f t="shared" si="4"/>
        <v>282</v>
      </c>
      <c r="I284" s="208">
        <v>17600</v>
      </c>
      <c r="J284" s="208" t="s">
        <v>761</v>
      </c>
      <c r="K284" s="351"/>
      <c r="L284" s="351"/>
      <c r="M284" s="208"/>
      <c r="N284" s="208"/>
    </row>
    <row r="285" spans="1:14">
      <c r="A285" s="208"/>
      <c r="B285" s="354">
        <v>283</v>
      </c>
      <c r="C285" s="208" t="s">
        <v>61</v>
      </c>
      <c r="D285" s="237" t="s">
        <v>762</v>
      </c>
      <c r="E285" s="208"/>
      <c r="F285" s="208" t="s">
        <v>763</v>
      </c>
      <c r="G285" s="203"/>
      <c r="H285" s="203">
        <f t="shared" si="4"/>
        <v>283</v>
      </c>
      <c r="I285" s="208">
        <v>17100</v>
      </c>
      <c r="J285" s="208" t="s">
        <v>33</v>
      </c>
      <c r="K285" s="351"/>
      <c r="L285" s="351"/>
      <c r="M285" s="208"/>
      <c r="N285" s="208"/>
    </row>
    <row r="286" spans="1:14">
      <c r="A286" s="208"/>
      <c r="B286" s="354">
        <v>284</v>
      </c>
      <c r="C286" s="208" t="s">
        <v>61</v>
      </c>
      <c r="D286" s="237" t="s">
        <v>764</v>
      </c>
      <c r="E286" s="208" t="s">
        <v>765</v>
      </c>
      <c r="F286" s="208" t="s">
        <v>766</v>
      </c>
      <c r="G286" s="203"/>
      <c r="H286" s="203">
        <f t="shared" si="4"/>
        <v>284</v>
      </c>
      <c r="I286" s="208">
        <v>17250</v>
      </c>
      <c r="J286" s="208" t="s">
        <v>532</v>
      </c>
      <c r="K286" s="351"/>
      <c r="L286" s="351"/>
      <c r="M286" s="208"/>
      <c r="N286" s="208"/>
    </row>
    <row r="287" spans="1:14">
      <c r="A287" s="208"/>
      <c r="B287" s="354">
        <v>285</v>
      </c>
      <c r="C287" s="208" t="s">
        <v>16</v>
      </c>
      <c r="D287" s="237" t="s">
        <v>484</v>
      </c>
      <c r="E287" s="208"/>
      <c r="F287" s="208" t="s">
        <v>485</v>
      </c>
      <c r="G287" s="203"/>
      <c r="H287" s="203">
        <f t="shared" si="4"/>
        <v>285</v>
      </c>
      <c r="I287" s="208">
        <v>17100</v>
      </c>
      <c r="J287" s="208" t="s">
        <v>33</v>
      </c>
      <c r="K287" s="351"/>
      <c r="L287" s="351"/>
      <c r="M287" s="208"/>
      <c r="N287" s="208"/>
    </row>
    <row r="288" spans="1:14">
      <c r="A288" s="208"/>
      <c r="B288" s="354">
        <v>286</v>
      </c>
      <c r="C288" s="208" t="s">
        <v>20</v>
      </c>
      <c r="D288" s="237" t="s">
        <v>767</v>
      </c>
      <c r="E288" s="208" t="s">
        <v>768</v>
      </c>
      <c r="F288" s="208" t="s">
        <v>769</v>
      </c>
      <c r="G288" s="203"/>
      <c r="H288" s="203">
        <f t="shared" si="4"/>
        <v>286</v>
      </c>
      <c r="I288" s="208">
        <v>17100</v>
      </c>
      <c r="J288" s="208" t="s">
        <v>356</v>
      </c>
      <c r="K288" s="351"/>
      <c r="L288" s="351"/>
      <c r="M288" s="208"/>
      <c r="N288" s="208"/>
    </row>
    <row r="289" spans="1:14">
      <c r="A289" s="208"/>
      <c r="B289" s="354">
        <v>287</v>
      </c>
      <c r="C289" s="208"/>
      <c r="D289" s="237" t="s">
        <v>770</v>
      </c>
      <c r="E289" s="208"/>
      <c r="F289" s="208" t="s">
        <v>462</v>
      </c>
      <c r="G289" s="203"/>
      <c r="H289" s="203">
        <f t="shared" si="4"/>
        <v>287</v>
      </c>
      <c r="I289" s="208">
        <v>17100</v>
      </c>
      <c r="J289" s="208" t="s">
        <v>33</v>
      </c>
      <c r="K289" s="351"/>
      <c r="L289" s="351"/>
      <c r="M289" s="208"/>
      <c r="N289" s="208"/>
    </row>
    <row r="290" spans="1:14">
      <c r="A290" s="208"/>
      <c r="B290" s="354">
        <v>288</v>
      </c>
      <c r="C290" s="208" t="s">
        <v>16</v>
      </c>
      <c r="D290" s="237" t="s">
        <v>771</v>
      </c>
      <c r="E290" s="208"/>
      <c r="F290" s="208" t="s">
        <v>772</v>
      </c>
      <c r="G290" s="203"/>
      <c r="H290" s="203">
        <f t="shared" si="4"/>
        <v>288</v>
      </c>
      <c r="I290" s="208">
        <v>17100</v>
      </c>
      <c r="J290" s="208" t="s">
        <v>33</v>
      </c>
      <c r="K290" s="351"/>
      <c r="L290" s="351"/>
      <c r="M290" s="208"/>
      <c r="N290" s="208"/>
    </row>
    <row r="291" spans="1:14">
      <c r="A291" s="208"/>
      <c r="B291" s="354">
        <v>289</v>
      </c>
      <c r="C291" s="208" t="s">
        <v>658</v>
      </c>
      <c r="D291" s="237" t="s">
        <v>773</v>
      </c>
      <c r="E291" s="208" t="s">
        <v>774</v>
      </c>
      <c r="F291" s="208" t="s">
        <v>659</v>
      </c>
      <c r="G291" s="203"/>
      <c r="H291" s="203">
        <f t="shared" si="4"/>
        <v>289</v>
      </c>
      <c r="I291" s="208">
        <v>16100</v>
      </c>
      <c r="J291" s="208" t="s">
        <v>775</v>
      </c>
      <c r="K291" s="351"/>
      <c r="L291" s="351"/>
      <c r="M291" s="208"/>
      <c r="N291" s="208"/>
    </row>
    <row r="292" spans="1:14">
      <c r="A292" s="208"/>
      <c r="B292" s="354">
        <v>290</v>
      </c>
      <c r="C292" s="208" t="s">
        <v>20</v>
      </c>
      <c r="D292" s="237" t="s">
        <v>776</v>
      </c>
      <c r="E292" s="208"/>
      <c r="F292" s="208" t="s">
        <v>584</v>
      </c>
      <c r="G292" s="203"/>
      <c r="H292" s="203">
        <f t="shared" si="4"/>
        <v>290</v>
      </c>
      <c r="I292" s="208">
        <v>17100</v>
      </c>
      <c r="J292" s="208" t="s">
        <v>32</v>
      </c>
      <c r="K292" s="351"/>
      <c r="L292" s="351"/>
      <c r="M292" s="208"/>
      <c r="N292" s="208"/>
    </row>
    <row r="293" spans="1:14">
      <c r="A293" s="208"/>
      <c r="B293" s="354">
        <v>291</v>
      </c>
      <c r="C293" s="208" t="s">
        <v>20</v>
      </c>
      <c r="D293" s="237" t="s">
        <v>777</v>
      </c>
      <c r="E293" s="208" t="s">
        <v>342</v>
      </c>
      <c r="F293" s="208" t="s">
        <v>778</v>
      </c>
      <c r="G293" s="203"/>
      <c r="H293" s="203">
        <f t="shared" si="4"/>
        <v>291</v>
      </c>
      <c r="I293" s="208">
        <v>17100</v>
      </c>
      <c r="J293" s="208" t="s">
        <v>32</v>
      </c>
      <c r="K293" s="351"/>
      <c r="L293" s="351"/>
      <c r="M293" s="208"/>
      <c r="N293" s="208"/>
    </row>
    <row r="294" spans="1:14">
      <c r="A294" s="208"/>
      <c r="B294" s="354">
        <v>292</v>
      </c>
      <c r="C294" s="208" t="s">
        <v>61</v>
      </c>
      <c r="D294" s="237" t="s">
        <v>153</v>
      </c>
      <c r="E294" s="208" t="s">
        <v>113</v>
      </c>
      <c r="F294" s="208" t="s">
        <v>779</v>
      </c>
      <c r="G294" s="203"/>
      <c r="H294" s="203">
        <f t="shared" si="4"/>
        <v>292</v>
      </c>
      <c r="I294" s="208">
        <v>17100</v>
      </c>
      <c r="J294" s="208" t="s">
        <v>33</v>
      </c>
      <c r="K294" s="351"/>
      <c r="L294" s="351"/>
      <c r="M294" s="208"/>
      <c r="N294" s="208"/>
    </row>
    <row r="295" spans="1:14">
      <c r="A295" s="208"/>
      <c r="B295" s="354">
        <v>293</v>
      </c>
      <c r="C295" s="208" t="s">
        <v>61</v>
      </c>
      <c r="D295" s="237" t="s">
        <v>780</v>
      </c>
      <c r="E295" s="208"/>
      <c r="F295" s="208" t="s">
        <v>781</v>
      </c>
      <c r="G295" s="203"/>
      <c r="H295" s="203">
        <f t="shared" si="4"/>
        <v>293</v>
      </c>
      <c r="I295" s="208">
        <v>17100</v>
      </c>
      <c r="J295" s="208" t="s">
        <v>33</v>
      </c>
      <c r="K295" s="351"/>
      <c r="L295" s="351"/>
      <c r="M295" s="208"/>
      <c r="N295" s="208"/>
    </row>
    <row r="296" spans="1:14">
      <c r="A296" s="208"/>
      <c r="B296" s="354">
        <v>294</v>
      </c>
      <c r="C296" s="208" t="s">
        <v>20</v>
      </c>
      <c r="D296" s="237" t="s">
        <v>21</v>
      </c>
      <c r="E296" s="208" t="s">
        <v>782</v>
      </c>
      <c r="F296" s="208" t="s">
        <v>783</v>
      </c>
      <c r="G296" s="203"/>
      <c r="H296" s="203">
        <f t="shared" si="4"/>
        <v>294</v>
      </c>
      <c r="I296" s="208">
        <v>16100</v>
      </c>
      <c r="J296" s="208" t="s">
        <v>784</v>
      </c>
      <c r="K296" s="351"/>
      <c r="L296" s="351"/>
      <c r="M296" s="208"/>
      <c r="N296" s="208"/>
    </row>
    <row r="297" spans="1:14">
      <c r="A297" s="208"/>
      <c r="B297" s="354">
        <v>295</v>
      </c>
      <c r="C297" s="208" t="s">
        <v>61</v>
      </c>
      <c r="D297" s="237" t="s">
        <v>785</v>
      </c>
      <c r="E297" s="208" t="s">
        <v>153</v>
      </c>
      <c r="F297" s="208" t="s">
        <v>786</v>
      </c>
      <c r="G297" s="203"/>
      <c r="H297" s="203">
        <f t="shared" si="4"/>
        <v>295</v>
      </c>
      <c r="I297" s="208">
        <v>17100</v>
      </c>
      <c r="J297" s="208" t="s">
        <v>33</v>
      </c>
      <c r="K297" s="351">
        <v>546741722</v>
      </c>
      <c r="L297" s="351"/>
      <c r="M297" s="208"/>
      <c r="N297" s="208"/>
    </row>
    <row r="298" spans="1:14">
      <c r="A298" s="208"/>
      <c r="B298" s="354">
        <v>296</v>
      </c>
      <c r="C298" s="208"/>
      <c r="D298" s="237" t="s">
        <v>787</v>
      </c>
      <c r="E298" s="208"/>
      <c r="F298" s="208" t="s">
        <v>788</v>
      </c>
      <c r="G298" s="203"/>
      <c r="H298" s="203">
        <f t="shared" si="4"/>
        <v>296</v>
      </c>
      <c r="I298" s="208">
        <v>17770</v>
      </c>
      <c r="J298" s="208" t="s">
        <v>789</v>
      </c>
      <c r="K298" s="351"/>
      <c r="L298" s="351"/>
      <c r="M298" s="208"/>
      <c r="N298" s="208"/>
    </row>
    <row r="299" spans="1:14">
      <c r="A299" s="208"/>
      <c r="B299" s="354">
        <v>297</v>
      </c>
      <c r="C299" s="208" t="s">
        <v>61</v>
      </c>
      <c r="D299" s="237" t="s">
        <v>790</v>
      </c>
      <c r="E299" s="208" t="s">
        <v>153</v>
      </c>
      <c r="F299" s="208" t="s">
        <v>791</v>
      </c>
      <c r="G299" s="203"/>
      <c r="H299" s="203">
        <f t="shared" si="4"/>
        <v>297</v>
      </c>
      <c r="I299" s="208">
        <v>17610</v>
      </c>
      <c r="J299" s="208" t="s">
        <v>52</v>
      </c>
      <c r="K299" s="351"/>
      <c r="L299" s="351"/>
      <c r="M299" s="208"/>
      <c r="N299" s="208"/>
    </row>
    <row r="300" spans="1:14">
      <c r="A300" s="208"/>
      <c r="B300" s="354">
        <v>298</v>
      </c>
      <c r="C300" s="208" t="s">
        <v>61</v>
      </c>
      <c r="D300" s="237" t="s">
        <v>793</v>
      </c>
      <c r="E300" s="208"/>
      <c r="F300" s="208" t="s">
        <v>794</v>
      </c>
      <c r="G300" s="203"/>
      <c r="H300" s="203">
        <f t="shared" si="4"/>
        <v>298</v>
      </c>
      <c r="I300" s="208">
        <v>17610</v>
      </c>
      <c r="J300" s="208" t="s">
        <v>662</v>
      </c>
      <c r="K300" s="351"/>
      <c r="L300" s="351"/>
      <c r="M300" s="208"/>
      <c r="N300" s="208"/>
    </row>
    <row r="301" spans="1:14">
      <c r="A301" s="208"/>
      <c r="B301" s="354">
        <v>299</v>
      </c>
      <c r="C301" s="208" t="s">
        <v>16</v>
      </c>
      <c r="D301" s="237" t="s">
        <v>795</v>
      </c>
      <c r="E301" s="208"/>
      <c r="F301" s="208" t="s">
        <v>796</v>
      </c>
      <c r="G301" s="203"/>
      <c r="H301" s="203">
        <f t="shared" si="4"/>
        <v>299</v>
      </c>
      <c r="I301" s="208">
        <v>17100</v>
      </c>
      <c r="J301" s="208" t="s">
        <v>188</v>
      </c>
      <c r="K301" s="351"/>
      <c r="L301" s="351"/>
      <c r="M301" s="208"/>
      <c r="N301" s="208"/>
    </row>
    <row r="302" spans="1:14">
      <c r="A302" s="208"/>
      <c r="B302" s="354">
        <v>300</v>
      </c>
      <c r="C302" s="208" t="s">
        <v>20</v>
      </c>
      <c r="D302" s="237" t="s">
        <v>797</v>
      </c>
      <c r="E302" s="208" t="s">
        <v>798</v>
      </c>
      <c r="F302" s="208" t="s">
        <v>799</v>
      </c>
      <c r="G302" s="203"/>
      <c r="H302" s="203">
        <f t="shared" si="4"/>
        <v>300</v>
      </c>
      <c r="I302" s="208">
        <v>16100</v>
      </c>
      <c r="J302" s="208" t="s">
        <v>800</v>
      </c>
      <c r="K302" s="351"/>
      <c r="L302" s="351"/>
      <c r="M302" s="208"/>
      <c r="N302" s="208"/>
    </row>
    <row r="303" spans="1:14">
      <c r="A303" s="208"/>
      <c r="B303" s="354">
        <v>301</v>
      </c>
      <c r="C303" s="208" t="s">
        <v>20</v>
      </c>
      <c r="D303" s="237" t="s">
        <v>801</v>
      </c>
      <c r="E303" s="208" t="s">
        <v>798</v>
      </c>
      <c r="F303" s="208" t="s">
        <v>802</v>
      </c>
      <c r="G303" s="203"/>
      <c r="H303" s="203">
        <f t="shared" si="4"/>
        <v>301</v>
      </c>
      <c r="I303" s="208">
        <v>17460</v>
      </c>
      <c r="J303" s="208" t="s">
        <v>500</v>
      </c>
      <c r="K303" s="351"/>
      <c r="L303" s="351"/>
      <c r="M303" s="208"/>
      <c r="N303" s="208"/>
    </row>
    <row r="304" spans="1:14">
      <c r="A304" s="208"/>
      <c r="B304" s="354">
        <v>302</v>
      </c>
      <c r="C304" s="208" t="s">
        <v>61</v>
      </c>
      <c r="D304" s="237" t="s">
        <v>803</v>
      </c>
      <c r="E304" s="208"/>
      <c r="F304" s="208" t="s">
        <v>804</v>
      </c>
      <c r="G304" s="203"/>
      <c r="H304" s="203">
        <f t="shared" si="4"/>
        <v>302</v>
      </c>
      <c r="I304" s="208">
        <v>17100</v>
      </c>
      <c r="J304" s="208" t="s">
        <v>33</v>
      </c>
      <c r="K304" s="351"/>
      <c r="L304" s="351"/>
      <c r="M304" s="208"/>
      <c r="N304" s="208"/>
    </row>
    <row r="305" spans="1:14">
      <c r="A305" s="208"/>
      <c r="B305" s="354">
        <v>303</v>
      </c>
      <c r="C305" s="208" t="s">
        <v>20</v>
      </c>
      <c r="D305" s="237" t="s">
        <v>805</v>
      </c>
      <c r="E305" s="208"/>
      <c r="F305" s="208" t="s">
        <v>806</v>
      </c>
      <c r="G305" s="203"/>
      <c r="H305" s="203">
        <f t="shared" si="4"/>
        <v>303</v>
      </c>
      <c r="I305" s="208">
        <v>17610</v>
      </c>
      <c r="J305" s="208" t="s">
        <v>52</v>
      </c>
      <c r="K305" s="351"/>
      <c r="L305" s="351"/>
      <c r="M305" s="208"/>
      <c r="N305" s="208"/>
    </row>
    <row r="306" spans="1:14">
      <c r="A306" s="208"/>
      <c r="B306" s="354">
        <v>304</v>
      </c>
      <c r="C306" s="208" t="s">
        <v>61</v>
      </c>
      <c r="D306" s="237" t="s">
        <v>846</v>
      </c>
      <c r="E306" s="208"/>
      <c r="F306" s="208" t="s">
        <v>847</v>
      </c>
      <c r="G306" s="203"/>
      <c r="H306" s="203">
        <f t="shared" si="4"/>
        <v>304</v>
      </c>
      <c r="I306" s="208">
        <v>17770</v>
      </c>
      <c r="J306" s="208" t="s">
        <v>705</v>
      </c>
      <c r="K306" s="351">
        <v>546910976</v>
      </c>
      <c r="L306" s="351"/>
      <c r="M306" s="208"/>
      <c r="N306" s="208"/>
    </row>
    <row r="307" spans="1:14">
      <c r="A307" s="208"/>
      <c r="B307" s="354">
        <v>305</v>
      </c>
      <c r="C307" s="208" t="s">
        <v>61</v>
      </c>
      <c r="D307" s="237" t="s">
        <v>848</v>
      </c>
      <c r="E307" s="208"/>
      <c r="F307" s="208" t="s">
        <v>849</v>
      </c>
      <c r="G307" s="203"/>
      <c r="H307" s="203">
        <f t="shared" si="4"/>
        <v>305</v>
      </c>
      <c r="I307" s="208">
        <v>17100</v>
      </c>
      <c r="J307" s="208" t="s">
        <v>356</v>
      </c>
      <c r="K307" s="351">
        <v>680771699</v>
      </c>
      <c r="L307" s="351"/>
      <c r="M307" s="208"/>
      <c r="N307" s="208"/>
    </row>
    <row r="308" spans="1:14">
      <c r="A308" s="208"/>
      <c r="B308" s="354">
        <v>306</v>
      </c>
      <c r="C308" s="208" t="s">
        <v>61</v>
      </c>
      <c r="D308" s="237" t="s">
        <v>850</v>
      </c>
      <c r="E308" s="208" t="s">
        <v>716</v>
      </c>
      <c r="F308" s="208" t="s">
        <v>851</v>
      </c>
      <c r="G308" s="203"/>
      <c r="H308" s="203">
        <f t="shared" si="4"/>
        <v>306</v>
      </c>
      <c r="I308" s="208">
        <v>17610</v>
      </c>
      <c r="J308" s="208" t="s">
        <v>52</v>
      </c>
      <c r="K308" s="351"/>
      <c r="L308" s="351"/>
      <c r="M308" s="208"/>
      <c r="N308" s="208"/>
    </row>
    <row r="309" spans="1:14">
      <c r="A309" s="208"/>
      <c r="B309" s="354">
        <v>307</v>
      </c>
      <c r="C309" s="208"/>
      <c r="D309" s="237" t="s">
        <v>852</v>
      </c>
      <c r="E309" s="208"/>
      <c r="F309" s="208" t="s">
        <v>853</v>
      </c>
      <c r="G309" s="203"/>
      <c r="H309" s="203">
        <f t="shared" si="4"/>
        <v>307</v>
      </c>
      <c r="I309" s="208">
        <v>33152</v>
      </c>
      <c r="J309" s="208" t="s">
        <v>854</v>
      </c>
      <c r="K309" s="351"/>
      <c r="L309" s="351"/>
      <c r="M309" s="208"/>
      <c r="N309" s="208"/>
    </row>
    <row r="310" spans="1:14">
      <c r="A310" s="208"/>
      <c r="B310" s="354">
        <v>308</v>
      </c>
      <c r="C310" s="208" t="s">
        <v>16</v>
      </c>
      <c r="D310" s="237" t="s">
        <v>855</v>
      </c>
      <c r="E310" s="208" t="s">
        <v>856</v>
      </c>
      <c r="F310" s="208" t="s">
        <v>857</v>
      </c>
      <c r="G310" s="203"/>
      <c r="H310" s="203">
        <f t="shared" si="4"/>
        <v>308</v>
      </c>
      <c r="I310" s="208">
        <v>17610</v>
      </c>
      <c r="J310" s="208" t="s">
        <v>379</v>
      </c>
      <c r="K310" s="351"/>
      <c r="L310" s="351"/>
      <c r="M310" s="208"/>
      <c r="N310" s="208"/>
    </row>
    <row r="311" spans="1:14">
      <c r="A311" s="208"/>
      <c r="B311" s="354">
        <v>309</v>
      </c>
      <c r="C311" s="208"/>
      <c r="D311" s="237" t="s">
        <v>858</v>
      </c>
      <c r="E311" s="208"/>
      <c r="F311" s="208" t="s">
        <v>859</v>
      </c>
      <c r="G311" s="203"/>
      <c r="H311" s="203">
        <f t="shared" si="4"/>
        <v>309</v>
      </c>
      <c r="I311" s="208">
        <v>17100</v>
      </c>
      <c r="J311" s="208" t="s">
        <v>188</v>
      </c>
      <c r="K311" s="351">
        <v>546921492</v>
      </c>
      <c r="L311" s="351"/>
      <c r="M311" s="208"/>
      <c r="N311" s="208"/>
    </row>
    <row r="312" spans="1:14">
      <c r="A312" s="208"/>
      <c r="B312" s="354">
        <v>310</v>
      </c>
      <c r="C312" s="208" t="s">
        <v>20</v>
      </c>
      <c r="D312" s="237" t="s">
        <v>99</v>
      </c>
      <c r="E312" s="208"/>
      <c r="F312" s="208" t="s">
        <v>861</v>
      </c>
      <c r="G312" s="203"/>
      <c r="H312" s="203">
        <f t="shared" si="4"/>
        <v>310</v>
      </c>
      <c r="I312" s="208">
        <v>33115</v>
      </c>
      <c r="J312" s="208" t="s">
        <v>862</v>
      </c>
      <c r="K312" s="351"/>
      <c r="L312" s="351"/>
      <c r="M312" s="208"/>
      <c r="N312" s="208"/>
    </row>
    <row r="313" spans="1:14">
      <c r="A313" s="208"/>
      <c r="B313" s="354">
        <v>311</v>
      </c>
      <c r="C313" s="208" t="s">
        <v>863</v>
      </c>
      <c r="D313" s="237" t="s">
        <v>864</v>
      </c>
      <c r="E313" s="208"/>
      <c r="F313" s="208" t="s">
        <v>865</v>
      </c>
      <c r="G313" s="203"/>
      <c r="H313" s="203">
        <f t="shared" si="4"/>
        <v>311</v>
      </c>
      <c r="I313" s="208">
        <v>17100</v>
      </c>
      <c r="J313" s="208" t="s">
        <v>33</v>
      </c>
      <c r="K313" s="351">
        <v>546935414</v>
      </c>
      <c r="L313" s="351"/>
      <c r="M313" s="208"/>
      <c r="N313" s="208"/>
    </row>
    <row r="314" spans="1:14">
      <c r="A314" s="208"/>
      <c r="B314" s="354">
        <v>312</v>
      </c>
      <c r="C314" s="208" t="s">
        <v>61</v>
      </c>
      <c r="D314" s="237" t="s">
        <v>866</v>
      </c>
      <c r="E314" s="208" t="s">
        <v>374</v>
      </c>
      <c r="F314" s="208" t="s">
        <v>867</v>
      </c>
      <c r="G314" s="203"/>
      <c r="H314" s="203">
        <f t="shared" si="4"/>
        <v>312</v>
      </c>
      <c r="I314" s="208">
        <v>17100</v>
      </c>
      <c r="J314" s="208" t="s">
        <v>188</v>
      </c>
      <c r="K314" s="351"/>
      <c r="L314" s="351"/>
      <c r="M314" s="208"/>
      <c r="N314" s="208"/>
    </row>
    <row r="315" spans="1:14">
      <c r="A315" s="208"/>
      <c r="B315" s="354">
        <v>313</v>
      </c>
      <c r="C315" s="208" t="s">
        <v>16</v>
      </c>
      <c r="D315" s="237" t="s">
        <v>868</v>
      </c>
      <c r="E315" s="208" t="s">
        <v>869</v>
      </c>
      <c r="F315" s="208" t="s">
        <v>26</v>
      </c>
      <c r="G315" s="203"/>
      <c r="H315" s="203">
        <f t="shared" si="4"/>
        <v>313</v>
      </c>
      <c r="I315" s="208">
        <v>17100</v>
      </c>
      <c r="J315" s="208" t="s">
        <v>33</v>
      </c>
      <c r="K315" s="351">
        <v>546747098</v>
      </c>
      <c r="L315" s="351"/>
      <c r="M315" s="208"/>
      <c r="N315" s="208"/>
    </row>
    <row r="316" spans="1:14">
      <c r="A316" s="208"/>
      <c r="B316" s="354">
        <v>314</v>
      </c>
      <c r="C316" s="208" t="s">
        <v>16</v>
      </c>
      <c r="D316" s="237" t="s">
        <v>871</v>
      </c>
      <c r="E316" s="208"/>
      <c r="F316" s="208" t="s">
        <v>872</v>
      </c>
      <c r="G316" s="203"/>
      <c r="H316" s="203">
        <f t="shared" si="4"/>
        <v>314</v>
      </c>
      <c r="I316" s="208">
        <v>17610</v>
      </c>
      <c r="J316" s="208" t="s">
        <v>52</v>
      </c>
      <c r="K316" s="351"/>
      <c r="L316" s="351"/>
      <c r="M316" s="208"/>
      <c r="N316" s="208"/>
    </row>
    <row r="317" spans="1:14">
      <c r="A317" s="208"/>
      <c r="B317" s="354">
        <v>315</v>
      </c>
      <c r="C317" s="208" t="s">
        <v>61</v>
      </c>
      <c r="D317" s="237" t="s">
        <v>875</v>
      </c>
      <c r="E317" s="208"/>
      <c r="F317" s="208" t="s">
        <v>876</v>
      </c>
      <c r="G317" s="203"/>
      <c r="H317" s="203">
        <f t="shared" si="4"/>
        <v>315</v>
      </c>
      <c r="I317" s="208">
        <v>17100</v>
      </c>
      <c r="J317" s="208" t="s">
        <v>188</v>
      </c>
      <c r="K317" s="351"/>
      <c r="L317" s="351"/>
      <c r="M317" s="208"/>
      <c r="N317" s="208"/>
    </row>
    <row r="318" spans="1:14">
      <c r="A318" s="208"/>
      <c r="B318" s="354">
        <v>316</v>
      </c>
      <c r="C318" s="208" t="s">
        <v>16</v>
      </c>
      <c r="D318" s="237" t="s">
        <v>877</v>
      </c>
      <c r="E318" s="208"/>
      <c r="F318" s="208" t="s">
        <v>878</v>
      </c>
      <c r="G318" s="203"/>
      <c r="H318" s="203">
        <f t="shared" si="4"/>
        <v>316</v>
      </c>
      <c r="I318" s="208">
        <v>17100</v>
      </c>
      <c r="J318" s="208" t="s">
        <v>188</v>
      </c>
      <c r="K318" s="351">
        <v>546930823</v>
      </c>
      <c r="L318" s="351"/>
      <c r="M318" s="208"/>
      <c r="N318" s="208"/>
    </row>
    <row r="319" spans="1:14">
      <c r="A319" s="208"/>
      <c r="B319" s="354">
        <v>317</v>
      </c>
      <c r="C319" s="208" t="s">
        <v>20</v>
      </c>
      <c r="D319" s="237" t="s">
        <v>879</v>
      </c>
      <c r="E319" s="208" t="s">
        <v>880</v>
      </c>
      <c r="F319" s="208" t="s">
        <v>881</v>
      </c>
      <c r="G319" s="203"/>
      <c r="H319" s="203">
        <f t="shared" si="4"/>
        <v>317</v>
      </c>
      <c r="I319" s="208">
        <v>17100</v>
      </c>
      <c r="J319" s="208" t="s">
        <v>33</v>
      </c>
      <c r="K319" s="351"/>
      <c r="L319" s="351"/>
      <c r="M319" s="208"/>
      <c r="N319" s="208"/>
    </row>
    <row r="320" spans="1:14">
      <c r="A320" s="208"/>
      <c r="B320" s="354">
        <v>318</v>
      </c>
      <c r="C320" s="208" t="s">
        <v>16</v>
      </c>
      <c r="D320" s="237" t="s">
        <v>882</v>
      </c>
      <c r="E320" s="208"/>
      <c r="F320" s="208" t="s">
        <v>883</v>
      </c>
      <c r="G320" s="203"/>
      <c r="H320" s="203">
        <f t="shared" si="4"/>
        <v>318</v>
      </c>
      <c r="I320" s="208">
        <v>17100</v>
      </c>
      <c r="J320" s="208" t="s">
        <v>188</v>
      </c>
      <c r="K320" s="351"/>
      <c r="L320" s="351"/>
      <c r="M320" s="208"/>
      <c r="N320" s="208"/>
    </row>
    <row r="321" spans="1:14">
      <c r="A321" s="208"/>
      <c r="B321" s="354">
        <v>319</v>
      </c>
      <c r="C321" s="208" t="s">
        <v>61</v>
      </c>
      <c r="D321" s="237" t="s">
        <v>884</v>
      </c>
      <c r="E321" s="208"/>
      <c r="F321" s="208" t="s">
        <v>885</v>
      </c>
      <c r="G321" s="203"/>
      <c r="H321" s="203">
        <f t="shared" si="4"/>
        <v>319</v>
      </c>
      <c r="I321" s="208">
        <v>17100</v>
      </c>
      <c r="J321" s="208" t="s">
        <v>33</v>
      </c>
      <c r="K321" s="351"/>
      <c r="L321" s="351"/>
      <c r="M321" s="208"/>
      <c r="N321" s="208"/>
    </row>
    <row r="322" spans="1:14">
      <c r="A322" s="208"/>
      <c r="B322" s="354">
        <v>320</v>
      </c>
      <c r="C322" s="208" t="s">
        <v>16</v>
      </c>
      <c r="D322" s="237" t="s">
        <v>886</v>
      </c>
      <c r="E322" s="208" t="s">
        <v>782</v>
      </c>
      <c r="F322" s="208" t="s">
        <v>888</v>
      </c>
      <c r="G322" s="203"/>
      <c r="H322" s="203">
        <f t="shared" si="4"/>
        <v>320</v>
      </c>
      <c r="I322" s="208">
        <v>94200</v>
      </c>
      <c r="J322" s="208" t="s">
        <v>887</v>
      </c>
      <c r="K322" s="351"/>
      <c r="L322" s="351"/>
      <c r="M322" s="208"/>
      <c r="N322" s="208"/>
    </row>
    <row r="323" spans="1:14">
      <c r="A323" s="208"/>
      <c r="B323" s="354">
        <v>321</v>
      </c>
      <c r="C323" s="208" t="s">
        <v>61</v>
      </c>
      <c r="D323" s="237" t="s">
        <v>889</v>
      </c>
      <c r="E323" s="208"/>
      <c r="F323" s="208" t="s">
        <v>890</v>
      </c>
      <c r="G323" s="203"/>
      <c r="H323" s="203">
        <f t="shared" si="4"/>
        <v>321</v>
      </c>
      <c r="I323" s="208">
        <v>17610</v>
      </c>
      <c r="J323" s="208" t="s">
        <v>662</v>
      </c>
      <c r="K323" s="351"/>
      <c r="L323" s="351"/>
      <c r="M323" s="208"/>
      <c r="N323" s="208"/>
    </row>
    <row r="324" spans="1:14">
      <c r="A324" s="208"/>
      <c r="B324" s="354">
        <v>322</v>
      </c>
      <c r="C324" s="208" t="s">
        <v>114</v>
      </c>
      <c r="D324" s="237" t="s">
        <v>891</v>
      </c>
      <c r="E324" s="208"/>
      <c r="F324" s="208" t="s">
        <v>892</v>
      </c>
      <c r="G324" s="203"/>
      <c r="H324" s="203">
        <f t="shared" ref="H324:H387" si="5">B324</f>
        <v>322</v>
      </c>
      <c r="I324" s="208">
        <v>17610</v>
      </c>
      <c r="J324" s="208" t="s">
        <v>52</v>
      </c>
      <c r="K324" s="351"/>
      <c r="L324" s="351"/>
      <c r="M324" s="208"/>
      <c r="N324" s="208"/>
    </row>
    <row r="325" spans="1:14">
      <c r="A325" s="208"/>
      <c r="B325" s="354">
        <v>323</v>
      </c>
      <c r="C325" s="208" t="s">
        <v>16</v>
      </c>
      <c r="D325" s="237" t="s">
        <v>893</v>
      </c>
      <c r="E325" s="208"/>
      <c r="F325" s="208" t="s">
        <v>894</v>
      </c>
      <c r="G325" s="203"/>
      <c r="H325" s="203">
        <f t="shared" si="5"/>
        <v>323</v>
      </c>
      <c r="I325" s="208">
        <v>17100</v>
      </c>
      <c r="J325" s="208" t="s">
        <v>32</v>
      </c>
      <c r="K325" s="351">
        <v>664329662</v>
      </c>
      <c r="L325" s="351"/>
      <c r="M325" s="208"/>
      <c r="N325" s="208"/>
    </row>
    <row r="326" spans="1:14">
      <c r="A326" s="208"/>
      <c r="B326" s="354">
        <v>324</v>
      </c>
      <c r="C326" s="208" t="s">
        <v>16</v>
      </c>
      <c r="D326" s="237" t="s">
        <v>895</v>
      </c>
      <c r="E326" s="208" t="s">
        <v>478</v>
      </c>
      <c r="F326" s="208" t="s">
        <v>896</v>
      </c>
      <c r="G326" s="203"/>
      <c r="H326" s="203">
        <f t="shared" si="5"/>
        <v>324</v>
      </c>
      <c r="I326" s="208">
        <v>17770</v>
      </c>
      <c r="J326" s="208" t="s">
        <v>684</v>
      </c>
      <c r="K326" s="351"/>
      <c r="L326" s="351"/>
      <c r="M326" s="208"/>
      <c r="N326" s="208"/>
    </row>
    <row r="327" spans="1:14">
      <c r="A327" s="208"/>
      <c r="B327" s="354">
        <v>325</v>
      </c>
      <c r="C327" s="208" t="s">
        <v>20</v>
      </c>
      <c r="D327" s="237" t="s">
        <v>897</v>
      </c>
      <c r="E327" s="208" t="s">
        <v>354</v>
      </c>
      <c r="F327" s="208" t="s">
        <v>898</v>
      </c>
      <c r="G327" s="203"/>
      <c r="H327" s="203">
        <f t="shared" si="5"/>
        <v>325</v>
      </c>
      <c r="I327" s="208">
        <v>17770</v>
      </c>
      <c r="J327" s="208" t="s">
        <v>899</v>
      </c>
      <c r="K327" s="351"/>
      <c r="L327" s="351"/>
      <c r="M327" s="208"/>
      <c r="N327" s="208"/>
    </row>
    <row r="328" spans="1:14">
      <c r="A328" s="208"/>
      <c r="B328" s="354">
        <v>326</v>
      </c>
      <c r="C328" s="208" t="s">
        <v>61</v>
      </c>
      <c r="D328" s="237" t="s">
        <v>900</v>
      </c>
      <c r="E328" s="208" t="s">
        <v>623</v>
      </c>
      <c r="F328" s="208" t="s">
        <v>901</v>
      </c>
      <c r="G328" s="203"/>
      <c r="H328" s="203">
        <f t="shared" si="5"/>
        <v>326</v>
      </c>
      <c r="I328" s="208">
        <v>17810</v>
      </c>
      <c r="J328" s="208" t="s">
        <v>55</v>
      </c>
      <c r="K328" s="351">
        <v>546925436</v>
      </c>
      <c r="L328" s="351">
        <v>638804603</v>
      </c>
      <c r="M328" s="208"/>
      <c r="N328" s="208"/>
    </row>
    <row r="329" spans="1:14">
      <c r="A329" s="208"/>
      <c r="B329" s="354">
        <v>327</v>
      </c>
      <c r="C329" s="208" t="s">
        <v>61</v>
      </c>
      <c r="D329" s="237" t="s">
        <v>902</v>
      </c>
      <c r="E329" s="208"/>
      <c r="F329" s="208" t="s">
        <v>903</v>
      </c>
      <c r="G329" s="203"/>
      <c r="H329" s="203">
        <f t="shared" si="5"/>
        <v>327</v>
      </c>
      <c r="I329" s="208">
        <v>17100</v>
      </c>
      <c r="J329" s="208" t="s">
        <v>33</v>
      </c>
      <c r="K329" s="351"/>
      <c r="L329" s="351"/>
      <c r="M329" s="208"/>
      <c r="N329" s="208"/>
    </row>
    <row r="330" spans="1:14">
      <c r="A330" s="208"/>
      <c r="B330" s="354">
        <v>328</v>
      </c>
      <c r="C330" s="208" t="s">
        <v>16</v>
      </c>
      <c r="D330" s="237" t="s">
        <v>904</v>
      </c>
      <c r="E330" s="208"/>
      <c r="F330" s="208" t="s">
        <v>905</v>
      </c>
      <c r="G330" s="203"/>
      <c r="H330" s="203">
        <f t="shared" si="5"/>
        <v>328</v>
      </c>
      <c r="I330" s="208">
        <v>17100</v>
      </c>
      <c r="J330" s="208" t="s">
        <v>33</v>
      </c>
      <c r="K330" s="351"/>
      <c r="L330" s="351"/>
      <c r="M330" s="208"/>
      <c r="N330" s="208"/>
    </row>
    <row r="331" spans="1:14">
      <c r="A331" s="208"/>
      <c r="B331" s="354">
        <v>329</v>
      </c>
      <c r="C331" s="208" t="s">
        <v>20</v>
      </c>
      <c r="D331" s="237" t="s">
        <v>906</v>
      </c>
      <c r="E331" s="208" t="s">
        <v>907</v>
      </c>
      <c r="F331" s="208" t="s">
        <v>908</v>
      </c>
      <c r="G331" s="203"/>
      <c r="H331" s="203">
        <f t="shared" si="5"/>
        <v>329</v>
      </c>
      <c r="I331" s="208">
        <v>75016</v>
      </c>
      <c r="J331" s="208" t="s">
        <v>909</v>
      </c>
      <c r="K331" s="351"/>
      <c r="L331" s="351"/>
      <c r="M331" s="208"/>
      <c r="N331" s="208"/>
    </row>
    <row r="332" spans="1:14">
      <c r="A332" s="208"/>
      <c r="B332" s="354">
        <v>330</v>
      </c>
      <c r="C332" s="208" t="s">
        <v>16</v>
      </c>
      <c r="D332" s="237" t="s">
        <v>910</v>
      </c>
      <c r="E332" s="208" t="s">
        <v>678</v>
      </c>
      <c r="F332" s="208" t="s">
        <v>911</v>
      </c>
      <c r="G332" s="203"/>
      <c r="H332" s="203">
        <f t="shared" si="5"/>
        <v>330</v>
      </c>
      <c r="I332" s="208">
        <v>17610</v>
      </c>
      <c r="J332" s="208" t="s">
        <v>52</v>
      </c>
      <c r="K332" s="351"/>
      <c r="L332" s="351"/>
      <c r="M332" s="208"/>
      <c r="N332" s="208"/>
    </row>
    <row r="333" spans="1:14">
      <c r="A333" s="208"/>
      <c r="B333" s="354">
        <v>331</v>
      </c>
      <c r="C333" s="208" t="s">
        <v>16</v>
      </c>
      <c r="D333" s="237" t="s">
        <v>912</v>
      </c>
      <c r="E333" s="208" t="s">
        <v>913</v>
      </c>
      <c r="F333" s="208" t="s">
        <v>914</v>
      </c>
      <c r="G333" s="203"/>
      <c r="H333" s="203">
        <f t="shared" si="5"/>
        <v>331</v>
      </c>
      <c r="I333" s="208">
        <v>17100</v>
      </c>
      <c r="J333" s="208" t="s">
        <v>32</v>
      </c>
      <c r="K333" s="351"/>
      <c r="L333" s="351"/>
      <c r="M333" s="208"/>
      <c r="N333" s="208"/>
    </row>
    <row r="334" spans="1:14">
      <c r="A334" s="208"/>
      <c r="B334" s="354">
        <v>332</v>
      </c>
      <c r="C334" s="208" t="s">
        <v>16</v>
      </c>
      <c r="D334" s="237" t="s">
        <v>915</v>
      </c>
      <c r="E334" s="208"/>
      <c r="F334" s="208" t="s">
        <v>916</v>
      </c>
      <c r="G334" s="203"/>
      <c r="H334" s="203">
        <f t="shared" si="5"/>
        <v>332</v>
      </c>
      <c r="I334" s="208">
        <v>17100</v>
      </c>
      <c r="J334" s="208" t="s">
        <v>33</v>
      </c>
      <c r="K334" s="351"/>
      <c r="L334" s="351"/>
      <c r="M334" s="208"/>
      <c r="N334" s="208"/>
    </row>
    <row r="335" spans="1:14">
      <c r="A335" s="208"/>
      <c r="B335" s="354">
        <v>333</v>
      </c>
      <c r="C335" s="208" t="s">
        <v>16</v>
      </c>
      <c r="D335" s="237" t="s">
        <v>919</v>
      </c>
      <c r="E335" s="208"/>
      <c r="F335" s="208" t="s">
        <v>920</v>
      </c>
      <c r="G335" s="203"/>
      <c r="H335" s="203">
        <f t="shared" si="5"/>
        <v>333</v>
      </c>
      <c r="I335" s="208">
        <v>17100</v>
      </c>
      <c r="J335" s="208" t="s">
        <v>33</v>
      </c>
      <c r="K335" s="351"/>
      <c r="L335" s="351"/>
      <c r="M335" s="208"/>
      <c r="N335" s="208"/>
    </row>
    <row r="336" spans="1:14">
      <c r="A336" s="208"/>
      <c r="B336" s="354">
        <v>334</v>
      </c>
      <c r="C336" s="208" t="s">
        <v>20</v>
      </c>
      <c r="D336" s="237" t="s">
        <v>921</v>
      </c>
      <c r="E336" s="208" t="s">
        <v>922</v>
      </c>
      <c r="F336" s="208" t="s">
        <v>923</v>
      </c>
      <c r="G336" s="203"/>
      <c r="H336" s="203">
        <f t="shared" si="5"/>
        <v>334</v>
      </c>
      <c r="I336" s="208">
        <v>17810</v>
      </c>
      <c r="J336" s="208" t="s">
        <v>924</v>
      </c>
      <c r="K336" s="351"/>
      <c r="L336" s="351"/>
      <c r="M336" s="208"/>
      <c r="N336" s="208"/>
    </row>
    <row r="337" spans="1:14">
      <c r="A337" s="208"/>
      <c r="B337" s="354">
        <v>335</v>
      </c>
      <c r="C337" s="208" t="s">
        <v>20</v>
      </c>
      <c r="D337" s="237" t="s">
        <v>975</v>
      </c>
      <c r="E337" s="208"/>
      <c r="F337" s="208" t="s">
        <v>925</v>
      </c>
      <c r="G337" s="203"/>
      <c r="H337" s="203">
        <f t="shared" si="5"/>
        <v>335</v>
      </c>
      <c r="I337" s="208">
        <v>17100</v>
      </c>
      <c r="J337" s="208" t="s">
        <v>32</v>
      </c>
      <c r="K337" s="351"/>
      <c r="L337" s="351"/>
      <c r="M337" s="208"/>
      <c r="N337" s="208"/>
    </row>
    <row r="338" spans="1:14">
      <c r="A338" s="208"/>
      <c r="B338" s="354">
        <v>336</v>
      </c>
      <c r="C338" s="208" t="s">
        <v>61</v>
      </c>
      <c r="D338" s="237" t="s">
        <v>439</v>
      </c>
      <c r="E338" s="208"/>
      <c r="F338" s="208" t="s">
        <v>926</v>
      </c>
      <c r="G338" s="203"/>
      <c r="H338" s="203">
        <f t="shared" si="5"/>
        <v>336</v>
      </c>
      <c r="I338" s="208">
        <v>17460</v>
      </c>
      <c r="J338" s="208" t="s">
        <v>500</v>
      </c>
      <c r="K338" s="351"/>
      <c r="L338" s="351"/>
      <c r="M338" s="208"/>
      <c r="N338" s="208"/>
    </row>
    <row r="339" spans="1:14">
      <c r="A339" s="208"/>
      <c r="B339" s="354">
        <v>337</v>
      </c>
      <c r="C339" s="208" t="s">
        <v>20</v>
      </c>
      <c r="D339" s="237" t="s">
        <v>927</v>
      </c>
      <c r="E339" s="208" t="s">
        <v>928</v>
      </c>
      <c r="F339" s="208" t="s">
        <v>929</v>
      </c>
      <c r="G339" s="203"/>
      <c r="H339" s="203">
        <f t="shared" si="5"/>
        <v>337</v>
      </c>
      <c r="I339" s="208">
        <v>17100</v>
      </c>
      <c r="J339" s="208" t="s">
        <v>33</v>
      </c>
      <c r="K339" s="351"/>
      <c r="L339" s="351"/>
      <c r="M339" s="208"/>
      <c r="N339" s="208"/>
    </row>
    <row r="340" spans="1:14">
      <c r="A340" s="208"/>
      <c r="B340" s="354">
        <v>338</v>
      </c>
      <c r="C340" s="208" t="s">
        <v>16</v>
      </c>
      <c r="D340" s="237" t="s">
        <v>930</v>
      </c>
      <c r="E340" s="208" t="s">
        <v>931</v>
      </c>
      <c r="F340" s="208" t="s">
        <v>932</v>
      </c>
      <c r="G340" s="203"/>
      <c r="H340" s="203">
        <f t="shared" si="5"/>
        <v>338</v>
      </c>
      <c r="I340" s="208">
        <v>17610</v>
      </c>
      <c r="J340" s="208" t="s">
        <v>52</v>
      </c>
      <c r="K340" s="351"/>
      <c r="L340" s="351"/>
      <c r="M340" s="208"/>
      <c r="N340" s="208"/>
    </row>
    <row r="341" spans="1:14">
      <c r="A341" s="208"/>
      <c r="B341" s="354">
        <v>339</v>
      </c>
      <c r="C341" s="208" t="s">
        <v>16</v>
      </c>
      <c r="D341" s="237" t="s">
        <v>933</v>
      </c>
      <c r="E341" s="208" t="s">
        <v>934</v>
      </c>
      <c r="F341" s="208" t="s">
        <v>935</v>
      </c>
      <c r="G341" s="203"/>
      <c r="H341" s="203">
        <f t="shared" si="5"/>
        <v>339</v>
      </c>
      <c r="I341" s="208">
        <v>17100</v>
      </c>
      <c r="J341" s="208" t="s">
        <v>265</v>
      </c>
      <c r="K341" s="351"/>
      <c r="L341" s="351"/>
      <c r="M341" s="208"/>
      <c r="N341" s="208"/>
    </row>
    <row r="342" spans="1:14">
      <c r="A342" s="208"/>
      <c r="B342" s="354">
        <v>340</v>
      </c>
      <c r="C342" s="208" t="s">
        <v>16</v>
      </c>
      <c r="D342" s="237" t="s">
        <v>936</v>
      </c>
      <c r="E342" s="208"/>
      <c r="F342" s="208" t="s">
        <v>937</v>
      </c>
      <c r="G342" s="203"/>
      <c r="H342" s="203">
        <f t="shared" si="5"/>
        <v>340</v>
      </c>
      <c r="I342" s="208">
        <v>17100</v>
      </c>
      <c r="J342" s="208" t="s">
        <v>33</v>
      </c>
      <c r="K342" s="351"/>
      <c r="L342" s="351"/>
      <c r="M342" s="208"/>
      <c r="N342" s="208"/>
    </row>
    <row r="343" spans="1:14">
      <c r="A343" s="208"/>
      <c r="B343" s="354">
        <v>341</v>
      </c>
      <c r="C343" s="208" t="s">
        <v>61</v>
      </c>
      <c r="D343" s="237" t="s">
        <v>938</v>
      </c>
      <c r="E343" s="208"/>
      <c r="F343" s="208" t="s">
        <v>939</v>
      </c>
      <c r="G343" s="203"/>
      <c r="H343" s="203">
        <f t="shared" si="5"/>
        <v>341</v>
      </c>
      <c r="I343" s="208">
        <v>17100</v>
      </c>
      <c r="J343" s="208" t="s">
        <v>33</v>
      </c>
      <c r="K343" s="351"/>
      <c r="L343" s="351"/>
      <c r="M343" s="208"/>
      <c r="N343" s="208"/>
    </row>
    <row r="344" spans="1:14">
      <c r="A344" s="208"/>
      <c r="B344" s="354">
        <v>342</v>
      </c>
      <c r="C344" s="208" t="s">
        <v>61</v>
      </c>
      <c r="D344" s="237" t="s">
        <v>941</v>
      </c>
      <c r="E344" s="208"/>
      <c r="F344" s="208" t="s">
        <v>942</v>
      </c>
      <c r="G344" s="203"/>
      <c r="H344" s="203">
        <f t="shared" si="5"/>
        <v>342</v>
      </c>
      <c r="I344" s="208">
        <v>17610</v>
      </c>
      <c r="J344" s="208" t="s">
        <v>154</v>
      </c>
      <c r="K344" s="351"/>
      <c r="L344" s="351"/>
      <c r="M344" s="208"/>
      <c r="N344" s="208"/>
    </row>
    <row r="345" spans="1:14">
      <c r="A345" s="208"/>
      <c r="B345" s="354">
        <v>343</v>
      </c>
      <c r="C345" s="208" t="s">
        <v>20</v>
      </c>
      <c r="D345" s="237" t="s">
        <v>943</v>
      </c>
      <c r="E345" s="208"/>
      <c r="F345" s="208" t="s">
        <v>438</v>
      </c>
      <c r="G345" s="203"/>
      <c r="H345" s="203">
        <f t="shared" si="5"/>
        <v>343</v>
      </c>
      <c r="I345" s="208">
        <v>17100</v>
      </c>
      <c r="J345" s="208" t="s">
        <v>33</v>
      </c>
      <c r="K345" s="351"/>
      <c r="L345" s="351"/>
      <c r="M345" s="208"/>
      <c r="N345" s="208"/>
    </row>
    <row r="346" spans="1:14">
      <c r="A346" s="208"/>
      <c r="B346" s="354">
        <v>344</v>
      </c>
      <c r="C346" s="208" t="s">
        <v>20</v>
      </c>
      <c r="D346" s="237" t="s">
        <v>944</v>
      </c>
      <c r="E346" s="208" t="s">
        <v>274</v>
      </c>
      <c r="F346" s="208" t="s">
        <v>945</v>
      </c>
      <c r="G346" s="203"/>
      <c r="H346" s="203">
        <f t="shared" si="5"/>
        <v>344</v>
      </c>
      <c r="I346" s="208">
        <v>31830</v>
      </c>
      <c r="J346" s="208" t="s">
        <v>946</v>
      </c>
      <c r="K346" s="351"/>
      <c r="L346" s="351"/>
      <c r="M346" s="208"/>
      <c r="N346" s="208"/>
    </row>
    <row r="347" spans="1:14">
      <c r="A347" s="208"/>
      <c r="B347" s="354">
        <v>345</v>
      </c>
      <c r="C347" s="208" t="s">
        <v>61</v>
      </c>
      <c r="D347" s="237" t="s">
        <v>947</v>
      </c>
      <c r="E347" s="208" t="s">
        <v>922</v>
      </c>
      <c r="F347" s="208" t="s">
        <v>948</v>
      </c>
      <c r="G347" s="203"/>
      <c r="H347" s="203">
        <f t="shared" si="5"/>
        <v>345</v>
      </c>
      <c r="I347" s="208">
        <v>17600</v>
      </c>
      <c r="J347" s="208" t="s">
        <v>603</v>
      </c>
      <c r="K347" s="351"/>
      <c r="L347" s="351"/>
      <c r="M347" s="208"/>
      <c r="N347" s="208"/>
    </row>
    <row r="348" spans="1:14">
      <c r="A348" s="208"/>
      <c r="B348" s="354">
        <v>346</v>
      </c>
      <c r="C348" s="208" t="s">
        <v>20</v>
      </c>
      <c r="D348" s="237" t="s">
        <v>949</v>
      </c>
      <c r="E348" s="208"/>
      <c r="F348" s="208" t="s">
        <v>950</v>
      </c>
      <c r="G348" s="203"/>
      <c r="H348" s="203">
        <f t="shared" si="5"/>
        <v>346</v>
      </c>
      <c r="I348" s="208">
        <v>17100</v>
      </c>
      <c r="J348" s="208" t="s">
        <v>33</v>
      </c>
      <c r="K348" s="351"/>
      <c r="L348" s="351"/>
      <c r="M348" s="208"/>
      <c r="N348" s="208"/>
    </row>
    <row r="349" spans="1:14">
      <c r="A349" s="208"/>
      <c r="B349" s="354">
        <v>347</v>
      </c>
      <c r="C349" s="208" t="s">
        <v>20</v>
      </c>
      <c r="D349" s="237" t="s">
        <v>713</v>
      </c>
      <c r="E349" s="208"/>
      <c r="F349" s="208" t="s">
        <v>951</v>
      </c>
      <c r="G349" s="203"/>
      <c r="H349" s="203">
        <f t="shared" si="5"/>
        <v>347</v>
      </c>
      <c r="I349" s="208">
        <v>17770</v>
      </c>
      <c r="J349" s="208" t="s">
        <v>385</v>
      </c>
      <c r="K349" s="351"/>
      <c r="L349" s="351"/>
      <c r="M349" s="208"/>
      <c r="N349" s="208"/>
    </row>
    <row r="350" spans="1:14">
      <c r="A350" s="208"/>
      <c r="B350" s="354">
        <v>348</v>
      </c>
      <c r="C350" s="208"/>
      <c r="D350" s="237" t="s">
        <v>1101</v>
      </c>
      <c r="E350" s="208"/>
      <c r="F350" s="208" t="s">
        <v>1105</v>
      </c>
      <c r="G350" s="203"/>
      <c r="H350" s="203">
        <f t="shared" si="5"/>
        <v>348</v>
      </c>
      <c r="I350" s="208">
        <v>17100</v>
      </c>
      <c r="J350" s="208" t="s">
        <v>33</v>
      </c>
      <c r="K350" s="351"/>
      <c r="L350" s="351"/>
      <c r="M350" s="208"/>
      <c r="N350" s="208"/>
    </row>
    <row r="351" spans="1:14">
      <c r="A351" s="208"/>
      <c r="B351" s="354">
        <v>349</v>
      </c>
      <c r="C351" s="208" t="s">
        <v>20</v>
      </c>
      <c r="D351" s="237" t="s">
        <v>155</v>
      </c>
      <c r="E351" s="208" t="s">
        <v>952</v>
      </c>
      <c r="F351" s="208" t="s">
        <v>953</v>
      </c>
      <c r="G351" s="203"/>
      <c r="H351" s="203">
        <f t="shared" si="5"/>
        <v>349</v>
      </c>
      <c r="I351" s="208">
        <v>17100</v>
      </c>
      <c r="J351" s="208" t="s">
        <v>32</v>
      </c>
      <c r="K351" s="351"/>
      <c r="L351" s="351"/>
      <c r="M351" s="208"/>
      <c r="N351" s="208"/>
    </row>
    <row r="352" spans="1:14">
      <c r="A352" s="208"/>
      <c r="B352" s="354">
        <v>350</v>
      </c>
      <c r="C352" s="208" t="s">
        <v>960</v>
      </c>
      <c r="D352" s="237" t="s">
        <v>954</v>
      </c>
      <c r="E352" s="208" t="s">
        <v>907</v>
      </c>
      <c r="F352" s="208" t="s">
        <v>955</v>
      </c>
      <c r="G352" s="203"/>
      <c r="H352" s="203">
        <f t="shared" si="5"/>
        <v>350</v>
      </c>
      <c r="I352" s="208">
        <v>17600</v>
      </c>
      <c r="J352" s="208" t="s">
        <v>956</v>
      </c>
      <c r="K352" s="351"/>
      <c r="L352" s="351"/>
      <c r="M352" s="208"/>
      <c r="N352" s="208"/>
    </row>
    <row r="353" spans="1:14">
      <c r="A353" s="208"/>
      <c r="B353" s="354">
        <v>351</v>
      </c>
      <c r="C353" s="208" t="s">
        <v>20</v>
      </c>
      <c r="D353" s="237" t="s">
        <v>957</v>
      </c>
      <c r="E353" s="208" t="s">
        <v>413</v>
      </c>
      <c r="F353" s="208" t="s">
        <v>958</v>
      </c>
      <c r="G353" s="203"/>
      <c r="H353" s="203">
        <f t="shared" si="5"/>
        <v>351</v>
      </c>
      <c r="I353" s="208">
        <v>17100</v>
      </c>
      <c r="J353" s="208" t="s">
        <v>959</v>
      </c>
      <c r="K353" s="351"/>
      <c r="L353" s="351"/>
      <c r="M353" s="208"/>
      <c r="N353" s="208"/>
    </row>
    <row r="354" spans="1:14">
      <c r="A354" s="208"/>
      <c r="B354" s="354">
        <v>352</v>
      </c>
      <c r="C354" s="208" t="s">
        <v>20</v>
      </c>
      <c r="D354" s="237" t="s">
        <v>961</v>
      </c>
      <c r="E354" s="208"/>
      <c r="F354" s="208" t="s">
        <v>962</v>
      </c>
      <c r="G354" s="203"/>
      <c r="H354" s="203">
        <f t="shared" si="5"/>
        <v>352</v>
      </c>
      <c r="I354" s="208">
        <v>17100</v>
      </c>
      <c r="J354" s="208" t="s">
        <v>33</v>
      </c>
      <c r="K354" s="351"/>
      <c r="L354" s="351"/>
      <c r="M354" s="208"/>
      <c r="N354" s="208"/>
    </row>
    <row r="355" spans="1:14">
      <c r="A355" s="208"/>
      <c r="B355" s="354">
        <v>353</v>
      </c>
      <c r="C355" s="208" t="s">
        <v>61</v>
      </c>
      <c r="D355" s="237" t="s">
        <v>963</v>
      </c>
      <c r="E355" s="208"/>
      <c r="F355" s="208" t="s">
        <v>1002</v>
      </c>
      <c r="G355" s="203"/>
      <c r="H355" s="203">
        <f t="shared" si="5"/>
        <v>353</v>
      </c>
      <c r="I355" s="208">
        <v>16100</v>
      </c>
      <c r="J355" s="208" t="s">
        <v>178</v>
      </c>
      <c r="K355" s="351"/>
      <c r="L355" s="351"/>
      <c r="M355" s="208"/>
      <c r="N355" s="208"/>
    </row>
    <row r="356" spans="1:14">
      <c r="A356" s="208"/>
      <c r="B356" s="354">
        <v>354</v>
      </c>
      <c r="C356" s="208" t="s">
        <v>20</v>
      </c>
      <c r="D356" s="237" t="s">
        <v>494</v>
      </c>
      <c r="E356" s="208"/>
      <c r="F356" s="208" t="s">
        <v>964</v>
      </c>
      <c r="G356" s="203"/>
      <c r="H356" s="203">
        <f t="shared" si="5"/>
        <v>354</v>
      </c>
      <c r="I356" s="208">
        <v>17100</v>
      </c>
      <c r="J356" s="208" t="s">
        <v>356</v>
      </c>
      <c r="K356" s="351"/>
      <c r="L356" s="351"/>
      <c r="M356" s="208"/>
      <c r="N356" s="208"/>
    </row>
    <row r="357" spans="1:14">
      <c r="A357" s="208"/>
      <c r="B357" s="354">
        <v>355</v>
      </c>
      <c r="C357" s="208" t="s">
        <v>20</v>
      </c>
      <c r="D357" s="237" t="s">
        <v>21</v>
      </c>
      <c r="E357" s="208" t="s">
        <v>880</v>
      </c>
      <c r="F357" s="208" t="s">
        <v>1496</v>
      </c>
      <c r="G357" s="203"/>
      <c r="H357" s="203">
        <f t="shared" si="5"/>
        <v>355</v>
      </c>
      <c r="I357" s="208">
        <v>17100</v>
      </c>
      <c r="J357" s="208" t="s">
        <v>356</v>
      </c>
      <c r="K357" s="351"/>
      <c r="L357" s="351"/>
      <c r="M357" s="208"/>
      <c r="N357" s="208"/>
    </row>
    <row r="358" spans="1:14">
      <c r="A358" s="208"/>
      <c r="B358" s="354">
        <v>356</v>
      </c>
      <c r="C358" s="208" t="s">
        <v>1245</v>
      </c>
      <c r="D358" s="237" t="s">
        <v>965</v>
      </c>
      <c r="E358" s="208"/>
      <c r="F358" s="208" t="s">
        <v>966</v>
      </c>
      <c r="G358" s="203"/>
      <c r="H358" s="203">
        <f t="shared" si="5"/>
        <v>356</v>
      </c>
      <c r="I358" s="208">
        <v>17100</v>
      </c>
      <c r="J358" s="208" t="s">
        <v>33</v>
      </c>
      <c r="K358" s="351"/>
      <c r="L358" s="351"/>
      <c r="M358" s="208"/>
      <c r="N358" s="208"/>
    </row>
    <row r="359" spans="1:14">
      <c r="A359" s="208"/>
      <c r="B359" s="354">
        <v>357</v>
      </c>
      <c r="C359" s="208" t="s">
        <v>61</v>
      </c>
      <c r="D359" s="237" t="s">
        <v>967</v>
      </c>
      <c r="E359" s="208" t="s">
        <v>194</v>
      </c>
      <c r="F359" s="208" t="s">
        <v>968</v>
      </c>
      <c r="G359" s="203"/>
      <c r="H359" s="203">
        <f t="shared" si="5"/>
        <v>357</v>
      </c>
      <c r="I359" s="208">
        <v>17770</v>
      </c>
      <c r="J359" s="208" t="s">
        <v>789</v>
      </c>
      <c r="K359" s="351"/>
      <c r="L359" s="351"/>
      <c r="M359" s="208"/>
      <c r="N359" s="208"/>
    </row>
    <row r="360" spans="1:14">
      <c r="A360" s="208"/>
      <c r="B360" s="354">
        <v>358</v>
      </c>
      <c r="C360" s="208" t="s">
        <v>61</v>
      </c>
      <c r="D360" s="237" t="s">
        <v>969</v>
      </c>
      <c r="E360" s="208" t="s">
        <v>190</v>
      </c>
      <c r="F360" s="208" t="s">
        <v>970</v>
      </c>
      <c r="G360" s="203"/>
      <c r="H360" s="203">
        <f t="shared" si="5"/>
        <v>358</v>
      </c>
      <c r="I360" s="208">
        <v>17380</v>
      </c>
      <c r="J360" s="208" t="s">
        <v>971</v>
      </c>
      <c r="K360" s="351"/>
      <c r="L360" s="351"/>
      <c r="M360" s="208"/>
      <c r="N360" s="208"/>
    </row>
    <row r="361" spans="1:14">
      <c r="A361" s="208"/>
      <c r="B361" s="354">
        <v>359</v>
      </c>
      <c r="C361" s="208" t="s">
        <v>61</v>
      </c>
      <c r="D361" s="237" t="s">
        <v>973</v>
      </c>
      <c r="E361" s="208"/>
      <c r="F361" s="208"/>
      <c r="G361" s="203"/>
      <c r="H361" s="203">
        <f t="shared" si="5"/>
        <v>359</v>
      </c>
      <c r="I361" s="208">
        <v>17600</v>
      </c>
      <c r="J361" s="208" t="s">
        <v>603</v>
      </c>
      <c r="K361" s="351"/>
      <c r="L361" s="351"/>
      <c r="M361" s="208"/>
      <c r="N361" s="208"/>
    </row>
    <row r="362" spans="1:14">
      <c r="A362" s="208"/>
      <c r="B362" s="354">
        <v>360</v>
      </c>
      <c r="C362" s="208" t="s">
        <v>16</v>
      </c>
      <c r="D362" s="237" t="s">
        <v>974</v>
      </c>
      <c r="E362" s="208"/>
      <c r="F362" s="208" t="s">
        <v>1501</v>
      </c>
      <c r="G362" s="203"/>
      <c r="H362" s="203">
        <f t="shared" si="5"/>
        <v>360</v>
      </c>
      <c r="I362" s="208">
        <v>17137</v>
      </c>
      <c r="J362" s="208" t="s">
        <v>1502</v>
      </c>
      <c r="K362" s="351"/>
      <c r="L362" s="351"/>
      <c r="M362" s="208"/>
      <c r="N362" s="208"/>
    </row>
    <row r="363" spans="1:14">
      <c r="A363" s="208"/>
      <c r="B363" s="354">
        <v>361</v>
      </c>
      <c r="C363" s="208" t="s">
        <v>61</v>
      </c>
      <c r="D363" s="237" t="s">
        <v>977</v>
      </c>
      <c r="E363" s="208"/>
      <c r="F363" s="208" t="s">
        <v>978</v>
      </c>
      <c r="G363" s="203"/>
      <c r="H363" s="203">
        <f t="shared" si="5"/>
        <v>361</v>
      </c>
      <c r="I363" s="208">
        <v>17100</v>
      </c>
      <c r="J363" s="208" t="s">
        <v>33</v>
      </c>
      <c r="K363" s="351"/>
      <c r="L363" s="351"/>
      <c r="M363" s="208"/>
      <c r="N363" s="208"/>
    </row>
    <row r="364" spans="1:14">
      <c r="A364" s="208"/>
      <c r="B364" s="354">
        <v>362</v>
      </c>
      <c r="C364" s="208" t="s">
        <v>20</v>
      </c>
      <c r="D364" s="237" t="s">
        <v>341</v>
      </c>
      <c r="E364" s="208" t="s">
        <v>354</v>
      </c>
      <c r="F364" s="208" t="s">
        <v>979</v>
      </c>
      <c r="G364" s="203"/>
      <c r="H364" s="203">
        <f t="shared" si="5"/>
        <v>362</v>
      </c>
      <c r="I364" s="208">
        <v>17610</v>
      </c>
      <c r="J364" s="208" t="s">
        <v>52</v>
      </c>
      <c r="K364" s="351"/>
      <c r="L364" s="351"/>
      <c r="M364" s="208"/>
      <c r="N364" s="208"/>
    </row>
    <row r="365" spans="1:14">
      <c r="A365" s="208"/>
      <c r="B365" s="354">
        <v>363</v>
      </c>
      <c r="C365" s="208" t="s">
        <v>61</v>
      </c>
      <c r="D365" s="237" t="s">
        <v>980</v>
      </c>
      <c r="E365" s="208" t="s">
        <v>981</v>
      </c>
      <c r="F365" s="208" t="s">
        <v>982</v>
      </c>
      <c r="G365" s="203"/>
      <c r="H365" s="203">
        <f t="shared" si="5"/>
        <v>363</v>
      </c>
      <c r="I365" s="208">
        <v>17610</v>
      </c>
      <c r="J365" s="208" t="s">
        <v>52</v>
      </c>
      <c r="K365" s="351"/>
      <c r="L365" s="351"/>
      <c r="M365" s="208"/>
      <c r="N365" s="208"/>
    </row>
    <row r="366" spans="1:14">
      <c r="A366" s="208"/>
      <c r="B366" s="354">
        <v>364</v>
      </c>
      <c r="C366" s="208" t="s">
        <v>61</v>
      </c>
      <c r="D366" s="237" t="s">
        <v>983</v>
      </c>
      <c r="E366" s="208" t="s">
        <v>257</v>
      </c>
      <c r="F366" s="208" t="s">
        <v>984</v>
      </c>
      <c r="G366" s="203"/>
      <c r="H366" s="203">
        <f t="shared" si="5"/>
        <v>364</v>
      </c>
      <c r="I366" s="208">
        <v>17770</v>
      </c>
      <c r="J366" s="208" t="s">
        <v>385</v>
      </c>
      <c r="K366" s="351"/>
      <c r="L366" s="351"/>
      <c r="M366" s="208"/>
      <c r="N366" s="208"/>
    </row>
    <row r="367" spans="1:14">
      <c r="A367" s="208"/>
      <c r="B367" s="354">
        <v>365</v>
      </c>
      <c r="C367" s="208" t="s">
        <v>20</v>
      </c>
      <c r="D367" s="237" t="s">
        <v>985</v>
      </c>
      <c r="E367" s="208" t="s">
        <v>322</v>
      </c>
      <c r="F367" s="208" t="s">
        <v>986</v>
      </c>
      <c r="G367" s="203"/>
      <c r="H367" s="203">
        <f t="shared" si="5"/>
        <v>365</v>
      </c>
      <c r="I367" s="208">
        <v>17100</v>
      </c>
      <c r="J367" s="208" t="s">
        <v>33</v>
      </c>
      <c r="K367" s="351"/>
      <c r="L367" s="351"/>
      <c r="M367" s="208"/>
      <c r="N367" s="208"/>
    </row>
    <row r="368" spans="1:14">
      <c r="A368" s="208"/>
      <c r="B368" s="354">
        <v>366</v>
      </c>
      <c r="C368" s="208" t="s">
        <v>61</v>
      </c>
      <c r="D368" s="237" t="s">
        <v>987</v>
      </c>
      <c r="E368" s="208"/>
      <c r="F368" s="208"/>
      <c r="G368" s="203"/>
      <c r="H368" s="203">
        <f t="shared" si="5"/>
        <v>366</v>
      </c>
      <c r="I368" s="208">
        <v>17100</v>
      </c>
      <c r="J368" s="208" t="s">
        <v>104</v>
      </c>
      <c r="K368" s="351"/>
      <c r="L368" s="351"/>
      <c r="M368" s="208"/>
      <c r="N368" s="208"/>
    </row>
    <row r="369" spans="1:14">
      <c r="A369" s="208"/>
      <c r="B369" s="354">
        <v>367</v>
      </c>
      <c r="C369" s="208" t="s">
        <v>16</v>
      </c>
      <c r="D369" s="237" t="s">
        <v>988</v>
      </c>
      <c r="E369" s="208"/>
      <c r="F369" s="208" t="s">
        <v>989</v>
      </c>
      <c r="G369" s="203"/>
      <c r="H369" s="203">
        <f t="shared" si="5"/>
        <v>367</v>
      </c>
      <c r="I369" s="208">
        <v>17610</v>
      </c>
      <c r="J369" s="208" t="s">
        <v>52</v>
      </c>
      <c r="K369" s="351">
        <v>546911053</v>
      </c>
      <c r="L369" s="351"/>
      <c r="M369" s="208"/>
      <c r="N369" s="208"/>
    </row>
    <row r="370" spans="1:14">
      <c r="A370" s="208"/>
      <c r="B370" s="354">
        <v>368</v>
      </c>
      <c r="C370" s="208" t="s">
        <v>16</v>
      </c>
      <c r="D370" s="237" t="s">
        <v>990</v>
      </c>
      <c r="E370" s="208" t="s">
        <v>991</v>
      </c>
      <c r="F370" s="208" t="s">
        <v>992</v>
      </c>
      <c r="G370" s="203"/>
      <c r="H370" s="203">
        <f t="shared" si="5"/>
        <v>368</v>
      </c>
      <c r="I370" s="208">
        <v>17610</v>
      </c>
      <c r="J370" s="208" t="s">
        <v>52</v>
      </c>
      <c r="K370" s="351"/>
      <c r="L370" s="351"/>
      <c r="M370" s="208"/>
      <c r="N370" s="208"/>
    </row>
    <row r="371" spans="1:14">
      <c r="A371" s="208"/>
      <c r="B371" s="354">
        <v>369</v>
      </c>
      <c r="C371" s="208" t="s">
        <v>20</v>
      </c>
      <c r="D371" s="237" t="s">
        <v>993</v>
      </c>
      <c r="E371" s="208" t="s">
        <v>146</v>
      </c>
      <c r="F371" s="208" t="s">
        <v>994</v>
      </c>
      <c r="G371" s="203"/>
      <c r="H371" s="203">
        <f t="shared" si="5"/>
        <v>369</v>
      </c>
      <c r="I371" s="208">
        <v>17100</v>
      </c>
      <c r="J371" s="208" t="s">
        <v>33</v>
      </c>
      <c r="K371" s="351"/>
      <c r="L371" s="351"/>
      <c r="M371" s="208"/>
      <c r="N371" s="208"/>
    </row>
    <row r="372" spans="1:14">
      <c r="A372" s="208"/>
      <c r="B372" s="354">
        <v>370</v>
      </c>
      <c r="C372" s="208" t="s">
        <v>61</v>
      </c>
      <c r="D372" s="237" t="s">
        <v>919</v>
      </c>
      <c r="E372" s="208"/>
      <c r="F372" s="208" t="s">
        <v>995</v>
      </c>
      <c r="G372" s="203"/>
      <c r="H372" s="203">
        <f t="shared" si="5"/>
        <v>370</v>
      </c>
      <c r="I372" s="208">
        <v>17100</v>
      </c>
      <c r="J372" s="208" t="s">
        <v>33</v>
      </c>
      <c r="K372" s="351"/>
      <c r="L372" s="351"/>
      <c r="M372" s="208"/>
      <c r="N372" s="208"/>
    </row>
    <row r="373" spans="1:14">
      <c r="A373" s="208"/>
      <c r="B373" s="354">
        <v>371</v>
      </c>
      <c r="C373" s="208" t="s">
        <v>61</v>
      </c>
      <c r="D373" s="237" t="s">
        <v>996</v>
      </c>
      <c r="E373" s="208" t="s">
        <v>997</v>
      </c>
      <c r="F373" s="208" t="s">
        <v>998</v>
      </c>
      <c r="G373" s="203"/>
      <c r="H373" s="203">
        <f t="shared" si="5"/>
        <v>371</v>
      </c>
      <c r="I373" s="208">
        <v>17100</v>
      </c>
      <c r="J373" s="208" t="s">
        <v>32</v>
      </c>
      <c r="K373" s="351"/>
      <c r="L373" s="351"/>
      <c r="M373" s="208"/>
      <c r="N373" s="208"/>
    </row>
    <row r="374" spans="1:14">
      <c r="A374" s="208"/>
      <c r="B374" s="354">
        <v>372</v>
      </c>
      <c r="C374" s="208" t="s">
        <v>61</v>
      </c>
      <c r="D374" s="237" t="s">
        <v>341</v>
      </c>
      <c r="E374" s="208" t="s">
        <v>257</v>
      </c>
      <c r="F374" s="208" t="s">
        <v>979</v>
      </c>
      <c r="G374" s="203"/>
      <c r="H374" s="203">
        <f t="shared" si="5"/>
        <v>372</v>
      </c>
      <c r="I374" s="208">
        <v>17610</v>
      </c>
      <c r="J374" s="208" t="s">
        <v>52</v>
      </c>
      <c r="K374" s="351"/>
      <c r="L374" s="351"/>
      <c r="M374" s="208"/>
      <c r="N374" s="208"/>
    </row>
    <row r="375" spans="1:14">
      <c r="A375" s="208"/>
      <c r="B375" s="354">
        <v>373</v>
      </c>
      <c r="C375" s="208" t="s">
        <v>61</v>
      </c>
      <c r="D375" s="237" t="s">
        <v>999</v>
      </c>
      <c r="E375" s="208" t="s">
        <v>88</v>
      </c>
      <c r="F375" s="208" t="s">
        <v>1000</v>
      </c>
      <c r="G375" s="203"/>
      <c r="H375" s="203">
        <f t="shared" si="5"/>
        <v>373</v>
      </c>
      <c r="I375" s="208">
        <v>59790</v>
      </c>
      <c r="J375" s="208" t="s">
        <v>1001</v>
      </c>
      <c r="K375" s="351">
        <v>666736973</v>
      </c>
      <c r="L375" s="351">
        <v>320603961</v>
      </c>
      <c r="M375" s="208"/>
      <c r="N375" s="208"/>
    </row>
    <row r="376" spans="1:14">
      <c r="A376" s="208"/>
      <c r="B376" s="354">
        <v>374</v>
      </c>
      <c r="C376" s="208" t="s">
        <v>20</v>
      </c>
      <c r="D376" s="237" t="s">
        <v>155</v>
      </c>
      <c r="E376" s="208" t="s">
        <v>952</v>
      </c>
      <c r="F376" s="208" t="s">
        <v>1034</v>
      </c>
      <c r="G376" s="203"/>
      <c r="H376" s="203">
        <f t="shared" si="5"/>
        <v>374</v>
      </c>
      <c r="I376" s="208">
        <v>17770</v>
      </c>
      <c r="J376" s="208" t="s">
        <v>789</v>
      </c>
      <c r="K376" s="351"/>
      <c r="L376" s="351"/>
      <c r="M376" s="208"/>
      <c r="N376" s="208"/>
    </row>
    <row r="377" spans="1:14">
      <c r="A377" s="208"/>
      <c r="B377" s="354">
        <v>375</v>
      </c>
      <c r="C377" s="208" t="s">
        <v>16</v>
      </c>
      <c r="D377" s="237" t="s">
        <v>1031</v>
      </c>
      <c r="E377" s="208"/>
      <c r="F377" s="208" t="s">
        <v>1003</v>
      </c>
      <c r="G377" s="203"/>
      <c r="H377" s="203">
        <f t="shared" si="5"/>
        <v>375</v>
      </c>
      <c r="I377" s="208">
        <v>17100</v>
      </c>
      <c r="J377" s="208" t="s">
        <v>33</v>
      </c>
      <c r="K377" s="351">
        <v>663192101</v>
      </c>
      <c r="L377" s="351"/>
      <c r="M377" s="208"/>
      <c r="N377" s="208"/>
    </row>
    <row r="378" spans="1:14">
      <c r="A378" s="208"/>
      <c r="B378" s="354">
        <v>376</v>
      </c>
      <c r="C378" s="208" t="s">
        <v>61</v>
      </c>
      <c r="D378" s="237" t="s">
        <v>1004</v>
      </c>
      <c r="E378" s="208"/>
      <c r="F378" s="208" t="s">
        <v>1005</v>
      </c>
      <c r="G378" s="203"/>
      <c r="H378" s="203">
        <f t="shared" si="5"/>
        <v>376</v>
      </c>
      <c r="I378" s="208">
        <v>17100</v>
      </c>
      <c r="J378" s="208" t="s">
        <v>33</v>
      </c>
      <c r="K378" s="351"/>
      <c r="L378" s="351"/>
      <c r="M378" s="208"/>
      <c r="N378" s="208"/>
    </row>
    <row r="379" spans="1:14">
      <c r="A379" s="208"/>
      <c r="B379" s="354">
        <v>377</v>
      </c>
      <c r="C379" s="208" t="s">
        <v>61</v>
      </c>
      <c r="D379" s="237" t="s">
        <v>1006</v>
      </c>
      <c r="E379" s="208"/>
      <c r="F379" s="208"/>
      <c r="G379" s="203"/>
      <c r="H379" s="203">
        <f t="shared" si="5"/>
        <v>377</v>
      </c>
      <c r="I379" s="208"/>
      <c r="J379" s="208"/>
      <c r="K379" s="351"/>
      <c r="L379" s="351"/>
      <c r="M379" s="208"/>
      <c r="N379" s="208"/>
    </row>
    <row r="380" spans="1:14">
      <c r="A380" s="208"/>
      <c r="B380" s="354">
        <v>378</v>
      </c>
      <c r="C380" s="208" t="s">
        <v>16</v>
      </c>
      <c r="D380" s="237" t="s">
        <v>1007</v>
      </c>
      <c r="E380" s="208"/>
      <c r="F380" s="208" t="s">
        <v>1008</v>
      </c>
      <c r="G380" s="203"/>
      <c r="H380" s="203">
        <f t="shared" si="5"/>
        <v>378</v>
      </c>
      <c r="I380" s="208">
        <v>17600</v>
      </c>
      <c r="J380" s="208" t="s">
        <v>1009</v>
      </c>
      <c r="K380" s="351"/>
      <c r="L380" s="351"/>
      <c r="M380" s="208"/>
      <c r="N380" s="208"/>
    </row>
    <row r="381" spans="1:14">
      <c r="A381" s="208"/>
      <c r="B381" s="354">
        <v>379</v>
      </c>
      <c r="C381" s="208" t="s">
        <v>20</v>
      </c>
      <c r="D381" s="237" t="s">
        <v>1010</v>
      </c>
      <c r="E381" s="208" t="s">
        <v>928</v>
      </c>
      <c r="F381" s="208" t="s">
        <v>1011</v>
      </c>
      <c r="G381" s="203"/>
      <c r="H381" s="203">
        <f t="shared" si="5"/>
        <v>379</v>
      </c>
      <c r="I381" s="208">
        <v>17610</v>
      </c>
      <c r="J381" s="208" t="s">
        <v>52</v>
      </c>
      <c r="K381" s="351"/>
      <c r="L381" s="351"/>
      <c r="M381" s="208"/>
      <c r="N381" s="208"/>
    </row>
    <row r="382" spans="1:14">
      <c r="A382" s="208"/>
      <c r="B382" s="354">
        <v>380</v>
      </c>
      <c r="C382" s="208" t="s">
        <v>20</v>
      </c>
      <c r="D382" s="237" t="s">
        <v>1012</v>
      </c>
      <c r="E382" s="208" t="s">
        <v>1013</v>
      </c>
      <c r="F382" s="208" t="s">
        <v>1014</v>
      </c>
      <c r="G382" s="203"/>
      <c r="H382" s="203">
        <f t="shared" si="5"/>
        <v>380</v>
      </c>
      <c r="I382" s="208">
        <v>17800</v>
      </c>
      <c r="J382" s="208" t="s">
        <v>1015</v>
      </c>
      <c r="K382" s="351"/>
      <c r="L382" s="351"/>
      <c r="M382" s="208"/>
      <c r="N382" s="208"/>
    </row>
    <row r="383" spans="1:14">
      <c r="A383" s="208"/>
      <c r="B383" s="354">
        <v>381</v>
      </c>
      <c r="C383" s="208" t="s">
        <v>61</v>
      </c>
      <c r="D383" s="237" t="s">
        <v>1016</v>
      </c>
      <c r="E383" s="208"/>
      <c r="F383" s="208"/>
      <c r="G383" s="203"/>
      <c r="H383" s="203">
        <f t="shared" si="5"/>
        <v>381</v>
      </c>
      <c r="I383" s="208"/>
      <c r="J383" s="208"/>
      <c r="K383" s="351"/>
      <c r="L383" s="351"/>
      <c r="M383" s="208"/>
      <c r="N383" s="208"/>
    </row>
    <row r="384" spans="1:14">
      <c r="A384" s="208"/>
      <c r="B384" s="354">
        <v>382</v>
      </c>
      <c r="C384" s="208"/>
      <c r="D384" s="237" t="s">
        <v>1017</v>
      </c>
      <c r="E384" s="208"/>
      <c r="F384" s="208" t="s">
        <v>1018</v>
      </c>
      <c r="G384" s="203"/>
      <c r="H384" s="203">
        <f t="shared" si="5"/>
        <v>382</v>
      </c>
      <c r="I384" s="208">
        <v>19102</v>
      </c>
      <c r="J384" s="208" t="s">
        <v>1019</v>
      </c>
      <c r="K384" s="351"/>
      <c r="L384" s="351"/>
      <c r="M384" s="208"/>
      <c r="N384" s="208"/>
    </row>
    <row r="385" spans="1:14">
      <c r="A385" s="208"/>
      <c r="B385" s="354">
        <v>383</v>
      </c>
      <c r="C385" s="208" t="s">
        <v>863</v>
      </c>
      <c r="D385" s="237" t="s">
        <v>1020</v>
      </c>
      <c r="E385" s="208"/>
      <c r="F385" s="208" t="s">
        <v>1021</v>
      </c>
      <c r="G385" s="203"/>
      <c r="H385" s="203">
        <f t="shared" si="5"/>
        <v>383</v>
      </c>
      <c r="I385" s="208">
        <v>17810</v>
      </c>
      <c r="J385" s="208" t="s">
        <v>287</v>
      </c>
      <c r="K385" s="351"/>
      <c r="L385" s="351"/>
      <c r="M385" s="208"/>
      <c r="N385" s="208"/>
    </row>
    <row r="386" spans="1:14">
      <c r="A386" s="208"/>
      <c r="B386" s="354">
        <v>384</v>
      </c>
      <c r="C386" s="208" t="s">
        <v>61</v>
      </c>
      <c r="D386" s="237" t="s">
        <v>1022</v>
      </c>
      <c r="E386" s="208"/>
      <c r="F386" s="208"/>
      <c r="G386" s="203"/>
      <c r="H386" s="203">
        <f t="shared" si="5"/>
        <v>384</v>
      </c>
      <c r="I386" s="208">
        <v>17250</v>
      </c>
      <c r="J386" s="208" t="s">
        <v>1023</v>
      </c>
      <c r="K386" s="351"/>
      <c r="L386" s="351"/>
      <c r="M386" s="208"/>
      <c r="N386" s="208"/>
    </row>
    <row r="387" spans="1:14">
      <c r="A387" s="208"/>
      <c r="B387" s="354">
        <v>385</v>
      </c>
      <c r="C387" s="208" t="s">
        <v>61</v>
      </c>
      <c r="D387" s="237" t="s">
        <v>1024</v>
      </c>
      <c r="E387" s="208" t="s">
        <v>1726</v>
      </c>
      <c r="F387" s="208" t="s">
        <v>1025</v>
      </c>
      <c r="G387" s="203"/>
      <c r="H387" s="203">
        <f t="shared" si="5"/>
        <v>385</v>
      </c>
      <c r="I387" s="208">
        <v>17770</v>
      </c>
      <c r="J387" s="208" t="s">
        <v>1026</v>
      </c>
      <c r="K387" s="351"/>
      <c r="L387" s="351"/>
      <c r="M387" s="208"/>
      <c r="N387" s="208"/>
    </row>
    <row r="388" spans="1:14">
      <c r="A388" s="208"/>
      <c r="B388" s="354">
        <v>386</v>
      </c>
      <c r="C388" s="208" t="s">
        <v>16</v>
      </c>
      <c r="D388" s="237" t="s">
        <v>1027</v>
      </c>
      <c r="E388" s="208"/>
      <c r="F388" s="208" t="s">
        <v>1028</v>
      </c>
      <c r="G388" s="203"/>
      <c r="H388" s="203">
        <f t="shared" ref="H388:H451" si="6">B388</f>
        <v>386</v>
      </c>
      <c r="I388" s="208">
        <v>17770</v>
      </c>
      <c r="J388" s="208" t="s">
        <v>684</v>
      </c>
      <c r="K388" s="351"/>
      <c r="L388" s="351"/>
      <c r="M388" s="208"/>
      <c r="N388" s="208"/>
    </row>
    <row r="389" spans="1:14">
      <c r="A389" s="208"/>
      <c r="B389" s="354">
        <v>387</v>
      </c>
      <c r="C389" s="208" t="s">
        <v>20</v>
      </c>
      <c r="D389" s="237" t="s">
        <v>927</v>
      </c>
      <c r="E389" s="208" t="s">
        <v>342</v>
      </c>
      <c r="F389" s="208"/>
      <c r="G389" s="203"/>
      <c r="H389" s="203">
        <f t="shared" si="6"/>
        <v>387</v>
      </c>
      <c r="I389" s="208">
        <v>17100</v>
      </c>
      <c r="J389" s="208" t="s">
        <v>33</v>
      </c>
      <c r="K389" s="351"/>
      <c r="L389" s="351"/>
      <c r="M389" s="208"/>
      <c r="N389" s="208"/>
    </row>
    <row r="390" spans="1:14">
      <c r="A390" s="208"/>
      <c r="B390" s="354">
        <v>388</v>
      </c>
      <c r="C390" s="208" t="s">
        <v>20</v>
      </c>
      <c r="D390" s="237" t="s">
        <v>1029</v>
      </c>
      <c r="E390" s="208" t="s">
        <v>267</v>
      </c>
      <c r="F390" s="208" t="s">
        <v>1030</v>
      </c>
      <c r="G390" s="203"/>
      <c r="H390" s="203">
        <f t="shared" si="6"/>
        <v>388</v>
      </c>
      <c r="I390" s="208">
        <v>17100</v>
      </c>
      <c r="J390" s="208" t="s">
        <v>33</v>
      </c>
      <c r="K390" s="351"/>
      <c r="L390" s="351"/>
      <c r="M390" s="208"/>
      <c r="N390" s="208"/>
    </row>
    <row r="391" spans="1:14">
      <c r="A391" s="208"/>
      <c r="B391" s="354">
        <v>389</v>
      </c>
      <c r="C391" s="208" t="s">
        <v>61</v>
      </c>
      <c r="D391" s="237" t="s">
        <v>1032</v>
      </c>
      <c r="E391" s="208"/>
      <c r="F391" s="208" t="s">
        <v>1033</v>
      </c>
      <c r="G391" s="203"/>
      <c r="H391" s="203">
        <f t="shared" si="6"/>
        <v>389</v>
      </c>
      <c r="I391" s="208">
        <v>17460</v>
      </c>
      <c r="J391" s="208" t="s">
        <v>294</v>
      </c>
      <c r="K391" s="351"/>
      <c r="L391" s="351"/>
      <c r="M391" s="208"/>
      <c r="N391" s="208"/>
    </row>
    <row r="392" spans="1:14">
      <c r="A392" s="208"/>
      <c r="B392" s="354">
        <v>390</v>
      </c>
      <c r="C392" s="208" t="s">
        <v>16</v>
      </c>
      <c r="D392" s="237" t="s">
        <v>1035</v>
      </c>
      <c r="E392" s="208"/>
      <c r="F392" s="208"/>
      <c r="G392" s="203"/>
      <c r="H392" s="203">
        <f t="shared" si="6"/>
        <v>390</v>
      </c>
      <c r="I392" s="208">
        <v>17250</v>
      </c>
      <c r="J392" s="208" t="s">
        <v>1036</v>
      </c>
      <c r="K392" s="351"/>
      <c r="L392" s="351"/>
      <c r="M392" s="208"/>
      <c r="N392" s="208"/>
    </row>
    <row r="393" spans="1:14">
      <c r="A393" s="208"/>
      <c r="B393" s="354">
        <v>391</v>
      </c>
      <c r="C393" s="208" t="s">
        <v>61</v>
      </c>
      <c r="D393" s="237" t="s">
        <v>1037</v>
      </c>
      <c r="E393" s="208"/>
      <c r="F393" s="208" t="s">
        <v>1038</v>
      </c>
      <c r="G393" s="203"/>
      <c r="H393" s="203">
        <f t="shared" si="6"/>
        <v>391</v>
      </c>
      <c r="I393" s="208">
        <v>17100</v>
      </c>
      <c r="J393" s="208" t="s">
        <v>32</v>
      </c>
      <c r="K393" s="351"/>
      <c r="L393" s="351"/>
      <c r="M393" s="208"/>
      <c r="N393" s="208"/>
    </row>
    <row r="394" spans="1:14">
      <c r="A394" s="208"/>
      <c r="B394" s="354">
        <v>392</v>
      </c>
      <c r="C394" s="208" t="s">
        <v>61</v>
      </c>
      <c r="D394" s="237" t="s">
        <v>1039</v>
      </c>
      <c r="E394" s="208" t="s">
        <v>1040</v>
      </c>
      <c r="F394" s="208" t="s">
        <v>1041</v>
      </c>
      <c r="G394" s="203"/>
      <c r="H394" s="203">
        <f t="shared" si="6"/>
        <v>392</v>
      </c>
      <c r="I394" s="208">
        <v>17610</v>
      </c>
      <c r="J394" s="208" t="s">
        <v>52</v>
      </c>
      <c r="K394" s="351"/>
      <c r="L394" s="351"/>
      <c r="M394" s="208"/>
      <c r="N394" s="208"/>
    </row>
    <row r="395" spans="1:14">
      <c r="A395" s="208"/>
      <c r="B395" s="354">
        <v>393</v>
      </c>
      <c r="C395" s="208" t="s">
        <v>20</v>
      </c>
      <c r="D395" s="237" t="s">
        <v>713</v>
      </c>
      <c r="E395" s="208" t="s">
        <v>88</v>
      </c>
      <c r="F395" s="208" t="s">
        <v>1042</v>
      </c>
      <c r="G395" s="203"/>
      <c r="H395" s="203">
        <f t="shared" si="6"/>
        <v>393</v>
      </c>
      <c r="I395" s="208">
        <v>17100</v>
      </c>
      <c r="J395" s="208" t="s">
        <v>33</v>
      </c>
      <c r="K395" s="351"/>
      <c r="L395" s="351"/>
      <c r="M395" s="208"/>
      <c r="N395" s="208"/>
    </row>
    <row r="396" spans="1:14">
      <c r="A396" s="208"/>
      <c r="B396" s="354">
        <v>394</v>
      </c>
      <c r="C396" s="208" t="s">
        <v>16</v>
      </c>
      <c r="D396" s="237" t="s">
        <v>537</v>
      </c>
      <c r="E396" s="208" t="s">
        <v>672</v>
      </c>
      <c r="F396" s="208" t="s">
        <v>1043</v>
      </c>
      <c r="G396" s="203"/>
      <c r="H396" s="203">
        <f t="shared" si="6"/>
        <v>394</v>
      </c>
      <c r="I396" s="208">
        <v>17800</v>
      </c>
      <c r="J396" s="208" t="s">
        <v>540</v>
      </c>
      <c r="K396" s="351"/>
      <c r="L396" s="351"/>
      <c r="M396" s="208"/>
      <c r="N396" s="208"/>
    </row>
    <row r="397" spans="1:14">
      <c r="A397" s="208"/>
      <c r="B397" s="354">
        <v>395</v>
      </c>
      <c r="C397" s="208" t="s">
        <v>61</v>
      </c>
      <c r="D397" s="237" t="s">
        <v>1044</v>
      </c>
      <c r="E397" s="208" t="s">
        <v>1045</v>
      </c>
      <c r="F397" s="208" t="s">
        <v>1046</v>
      </c>
      <c r="G397" s="203"/>
      <c r="H397" s="203">
        <f t="shared" si="6"/>
        <v>395</v>
      </c>
      <c r="I397" s="208">
        <v>17100</v>
      </c>
      <c r="J397" s="208" t="s">
        <v>33</v>
      </c>
      <c r="K397" s="351"/>
      <c r="L397" s="351"/>
      <c r="M397" s="208"/>
      <c r="N397" s="208"/>
    </row>
    <row r="398" spans="1:14">
      <c r="A398" s="208"/>
      <c r="B398" s="354">
        <v>396</v>
      </c>
      <c r="C398" s="208" t="s">
        <v>16</v>
      </c>
      <c r="D398" s="237" t="s">
        <v>1035</v>
      </c>
      <c r="E398" s="208" t="s">
        <v>1047</v>
      </c>
      <c r="F398" s="208" t="s">
        <v>1048</v>
      </c>
      <c r="G398" s="203"/>
      <c r="H398" s="203">
        <f t="shared" si="6"/>
        <v>396</v>
      </c>
      <c r="I398" s="208">
        <v>17570</v>
      </c>
      <c r="J398" s="208" t="s">
        <v>1049</v>
      </c>
      <c r="K398" s="351"/>
      <c r="L398" s="351"/>
      <c r="M398" s="208"/>
      <c r="N398" s="208"/>
    </row>
    <row r="399" spans="1:14">
      <c r="A399" s="208"/>
      <c r="B399" s="354">
        <v>397</v>
      </c>
      <c r="C399" s="208" t="s">
        <v>61</v>
      </c>
      <c r="D399" s="237" t="s">
        <v>155</v>
      </c>
      <c r="E399" s="208"/>
      <c r="F399" s="208"/>
      <c r="G399" s="203"/>
      <c r="H399" s="203">
        <f t="shared" si="6"/>
        <v>397</v>
      </c>
      <c r="I399" s="208">
        <v>16100</v>
      </c>
      <c r="J399" s="208" t="s">
        <v>272</v>
      </c>
      <c r="K399" s="351"/>
      <c r="L399" s="351"/>
      <c r="M399" s="208"/>
      <c r="N399" s="208"/>
    </row>
    <row r="400" spans="1:14">
      <c r="A400" s="208"/>
      <c r="B400" s="354">
        <v>398</v>
      </c>
      <c r="C400" s="208" t="s">
        <v>20</v>
      </c>
      <c r="D400" s="237" t="s">
        <v>1052</v>
      </c>
      <c r="E400" s="208" t="s">
        <v>1053</v>
      </c>
      <c r="F400" s="208"/>
      <c r="G400" s="203"/>
      <c r="H400" s="203">
        <f t="shared" si="6"/>
        <v>398</v>
      </c>
      <c r="I400" s="208">
        <v>17100</v>
      </c>
      <c r="J400" s="208" t="s">
        <v>357</v>
      </c>
      <c r="K400" s="351"/>
      <c r="L400" s="351"/>
      <c r="M400" s="208"/>
      <c r="N400" s="208"/>
    </row>
    <row r="401" spans="1:14">
      <c r="A401" s="208"/>
      <c r="B401" s="354">
        <v>399</v>
      </c>
      <c r="C401" s="208" t="s">
        <v>20</v>
      </c>
      <c r="D401" s="237" t="s">
        <v>1056</v>
      </c>
      <c r="E401" s="208" t="s">
        <v>153</v>
      </c>
      <c r="F401" s="208" t="s">
        <v>1057</v>
      </c>
      <c r="G401" s="203"/>
      <c r="H401" s="203">
        <f t="shared" si="6"/>
        <v>399</v>
      </c>
      <c r="I401" s="208">
        <v>17610</v>
      </c>
      <c r="J401" s="208" t="s">
        <v>327</v>
      </c>
      <c r="K401" s="351"/>
      <c r="L401" s="351"/>
      <c r="M401" s="208"/>
      <c r="N401" s="208"/>
    </row>
    <row r="402" spans="1:14">
      <c r="A402" s="208"/>
      <c r="B402" s="354">
        <v>400</v>
      </c>
      <c r="C402" s="208" t="s">
        <v>863</v>
      </c>
      <c r="D402" s="237" t="s">
        <v>1058</v>
      </c>
      <c r="E402" s="208"/>
      <c r="F402" s="208" t="s">
        <v>1059</v>
      </c>
      <c r="G402" s="203"/>
      <c r="H402" s="203">
        <f t="shared" si="6"/>
        <v>400</v>
      </c>
      <c r="I402" s="208">
        <v>17100</v>
      </c>
      <c r="J402" s="208" t="s">
        <v>33</v>
      </c>
      <c r="K402" s="351"/>
      <c r="L402" s="351"/>
      <c r="M402" s="208"/>
      <c r="N402" s="208"/>
    </row>
    <row r="403" spans="1:14">
      <c r="A403" s="208"/>
      <c r="B403" s="354">
        <v>401</v>
      </c>
      <c r="C403" s="208" t="s">
        <v>16</v>
      </c>
      <c r="D403" s="237" t="s">
        <v>1060</v>
      </c>
      <c r="E403" s="208" t="s">
        <v>1157</v>
      </c>
      <c r="F403" s="208" t="s">
        <v>1156</v>
      </c>
      <c r="G403" s="203"/>
      <c r="H403" s="203">
        <f t="shared" si="6"/>
        <v>401</v>
      </c>
      <c r="I403" s="208">
        <v>17100</v>
      </c>
      <c r="J403" s="208" t="s">
        <v>33</v>
      </c>
      <c r="K403" s="351"/>
      <c r="L403" s="351"/>
      <c r="M403" s="208"/>
      <c r="N403" s="208"/>
    </row>
    <row r="404" spans="1:14">
      <c r="A404" s="208"/>
      <c r="B404" s="354">
        <v>402</v>
      </c>
      <c r="C404" s="208" t="s">
        <v>16</v>
      </c>
      <c r="D404" s="237" t="s">
        <v>1061</v>
      </c>
      <c r="E404" s="208" t="s">
        <v>1062</v>
      </c>
      <c r="F404" s="208" t="s">
        <v>1063</v>
      </c>
      <c r="G404" s="203"/>
      <c r="H404" s="203">
        <f t="shared" si="6"/>
        <v>402</v>
      </c>
      <c r="I404" s="208">
        <v>17100</v>
      </c>
      <c r="J404" s="208" t="s">
        <v>32</v>
      </c>
      <c r="K404" s="351"/>
      <c r="L404" s="351"/>
      <c r="M404" s="208"/>
      <c r="N404" s="208"/>
    </row>
    <row r="405" spans="1:14">
      <c r="A405" s="208"/>
      <c r="B405" s="354">
        <v>403</v>
      </c>
      <c r="C405" s="208" t="s">
        <v>16</v>
      </c>
      <c r="D405" s="237" t="s">
        <v>1064</v>
      </c>
      <c r="E405" s="208"/>
      <c r="F405" s="208" t="s">
        <v>1065</v>
      </c>
      <c r="G405" s="203"/>
      <c r="H405" s="203">
        <f t="shared" si="6"/>
        <v>403</v>
      </c>
      <c r="I405" s="208">
        <v>17100</v>
      </c>
      <c r="J405" s="208" t="s">
        <v>33</v>
      </c>
      <c r="K405" s="351"/>
      <c r="L405" s="351"/>
      <c r="M405" s="208"/>
      <c r="N405" s="208"/>
    </row>
    <row r="406" spans="1:14">
      <c r="A406" s="208"/>
      <c r="B406" s="354">
        <v>404</v>
      </c>
      <c r="C406" s="208"/>
      <c r="D406" s="237" t="s">
        <v>1066</v>
      </c>
      <c r="E406" s="208"/>
      <c r="F406" s="208" t="s">
        <v>1067</v>
      </c>
      <c r="G406" s="203"/>
      <c r="H406" s="203">
        <f t="shared" si="6"/>
        <v>404</v>
      </c>
      <c r="I406" s="208">
        <v>17400</v>
      </c>
      <c r="J406" s="208" t="s">
        <v>1068</v>
      </c>
      <c r="K406" s="351"/>
      <c r="L406" s="351"/>
      <c r="M406" s="208"/>
      <c r="N406" s="208"/>
    </row>
    <row r="407" spans="1:14">
      <c r="A407" s="208"/>
      <c r="B407" s="354">
        <v>405</v>
      </c>
      <c r="C407" s="208" t="s">
        <v>16</v>
      </c>
      <c r="D407" s="237" t="s">
        <v>1489</v>
      </c>
      <c r="E407" s="208" t="s">
        <v>1069</v>
      </c>
      <c r="F407" s="208" t="s">
        <v>1070</v>
      </c>
      <c r="G407" s="203"/>
      <c r="H407" s="203">
        <f t="shared" si="6"/>
        <v>405</v>
      </c>
      <c r="I407" s="208">
        <v>16100</v>
      </c>
      <c r="J407" s="208" t="s">
        <v>178</v>
      </c>
      <c r="K407" s="351"/>
      <c r="L407" s="351"/>
      <c r="M407" s="208"/>
      <c r="N407" s="208"/>
    </row>
    <row r="408" spans="1:14">
      <c r="A408" s="208"/>
      <c r="B408" s="354">
        <v>406</v>
      </c>
      <c r="C408" s="208" t="s">
        <v>20</v>
      </c>
      <c r="D408" s="237" t="s">
        <v>1072</v>
      </c>
      <c r="E408" s="208"/>
      <c r="F408" s="208" t="s">
        <v>1073</v>
      </c>
      <c r="G408" s="203"/>
      <c r="H408" s="203">
        <f t="shared" si="6"/>
        <v>406</v>
      </c>
      <c r="I408" s="208">
        <v>17600</v>
      </c>
      <c r="J408" s="208" t="s">
        <v>1071</v>
      </c>
      <c r="K408" s="351"/>
      <c r="L408" s="351"/>
      <c r="M408" s="208"/>
      <c r="N408" s="208"/>
    </row>
    <row r="409" spans="1:14">
      <c r="A409" s="208"/>
      <c r="B409" s="354">
        <v>407</v>
      </c>
      <c r="C409" s="208" t="s">
        <v>61</v>
      </c>
      <c r="D409" s="237" t="s">
        <v>467</v>
      </c>
      <c r="E409" s="208" t="s">
        <v>374</v>
      </c>
      <c r="F409" s="208" t="s">
        <v>1074</v>
      </c>
      <c r="G409" s="203"/>
      <c r="H409" s="203">
        <f t="shared" si="6"/>
        <v>407</v>
      </c>
      <c r="I409" s="208">
        <v>17800</v>
      </c>
      <c r="J409" s="208" t="s">
        <v>540</v>
      </c>
      <c r="K409" s="351"/>
      <c r="L409" s="351"/>
      <c r="M409" s="208"/>
      <c r="N409" s="208"/>
    </row>
    <row r="410" spans="1:14">
      <c r="A410" s="208"/>
      <c r="B410" s="354">
        <v>408</v>
      </c>
      <c r="C410" s="208" t="s">
        <v>61</v>
      </c>
      <c r="D410" s="237" t="s">
        <v>1075</v>
      </c>
      <c r="E410" s="208" t="s">
        <v>1040</v>
      </c>
      <c r="F410" s="208" t="s">
        <v>1076</v>
      </c>
      <c r="G410" s="203"/>
      <c r="H410" s="203">
        <f t="shared" si="6"/>
        <v>408</v>
      </c>
      <c r="I410" s="208">
        <v>17100</v>
      </c>
      <c r="J410" s="208" t="s">
        <v>33</v>
      </c>
      <c r="K410" s="351"/>
      <c r="L410" s="351"/>
      <c r="M410" s="208"/>
      <c r="N410" s="208"/>
    </row>
    <row r="411" spans="1:14">
      <c r="A411" s="208"/>
      <c r="B411" s="354">
        <v>409</v>
      </c>
      <c r="C411" s="208" t="s">
        <v>61</v>
      </c>
      <c r="D411" s="237" t="s">
        <v>1078</v>
      </c>
      <c r="E411" s="208" t="s">
        <v>1079</v>
      </c>
      <c r="F411" s="208" t="s">
        <v>1080</v>
      </c>
      <c r="G411" s="203"/>
      <c r="H411" s="203">
        <f t="shared" si="6"/>
        <v>409</v>
      </c>
      <c r="I411" s="208">
        <v>17610</v>
      </c>
      <c r="J411" s="208" t="s">
        <v>52</v>
      </c>
      <c r="K411" s="351"/>
      <c r="L411" s="351"/>
      <c r="M411" s="208"/>
      <c r="N411" s="208"/>
    </row>
    <row r="412" spans="1:14">
      <c r="A412" s="208"/>
      <c r="B412" s="354">
        <v>410</v>
      </c>
      <c r="C412" s="208" t="s">
        <v>20</v>
      </c>
      <c r="D412" s="237" t="s">
        <v>1082</v>
      </c>
      <c r="E412" s="208"/>
      <c r="F412" s="208" t="s">
        <v>1081</v>
      </c>
      <c r="G412" s="203"/>
      <c r="H412" s="203">
        <f t="shared" si="6"/>
        <v>410</v>
      </c>
      <c r="I412" s="208">
        <v>17250</v>
      </c>
      <c r="J412" s="208" t="s">
        <v>1083</v>
      </c>
      <c r="K412" s="351"/>
      <c r="L412" s="351"/>
      <c r="M412" s="208"/>
      <c r="N412" s="208"/>
    </row>
    <row r="413" spans="1:14">
      <c r="A413" s="208"/>
      <c r="B413" s="354">
        <v>411</v>
      </c>
      <c r="C413" s="208" t="s">
        <v>61</v>
      </c>
      <c r="D413" s="237" t="s">
        <v>537</v>
      </c>
      <c r="E413" s="208" t="s">
        <v>1084</v>
      </c>
      <c r="F413" s="208" t="s">
        <v>1086</v>
      </c>
      <c r="G413" s="203"/>
      <c r="H413" s="203">
        <f t="shared" si="6"/>
        <v>411</v>
      </c>
      <c r="I413" s="208">
        <v>97120</v>
      </c>
      <c r="J413" s="208" t="s">
        <v>1085</v>
      </c>
      <c r="K413" s="351"/>
      <c r="L413" s="351"/>
      <c r="M413" s="208"/>
      <c r="N413" s="208"/>
    </row>
    <row r="414" spans="1:14">
      <c r="A414" s="208"/>
      <c r="B414" s="354">
        <v>412</v>
      </c>
      <c r="C414" s="208" t="s">
        <v>61</v>
      </c>
      <c r="D414" s="237" t="s">
        <v>1087</v>
      </c>
      <c r="E414" s="208"/>
      <c r="F414" s="208" t="s">
        <v>1088</v>
      </c>
      <c r="G414" s="203"/>
      <c r="H414" s="203">
        <f t="shared" si="6"/>
        <v>412</v>
      </c>
      <c r="I414" s="208">
        <v>17100</v>
      </c>
      <c r="J414" s="208" t="s">
        <v>188</v>
      </c>
      <c r="K414" s="351"/>
      <c r="L414" s="351"/>
      <c r="M414" s="208"/>
      <c r="N414" s="208"/>
    </row>
    <row r="415" spans="1:14">
      <c r="A415" s="208"/>
      <c r="B415" s="354">
        <v>413</v>
      </c>
      <c r="C415" s="208" t="s">
        <v>16</v>
      </c>
      <c r="D415" s="237" t="s">
        <v>1089</v>
      </c>
      <c r="E415" s="208" t="s">
        <v>1090</v>
      </c>
      <c r="F415" s="208" t="s">
        <v>1091</v>
      </c>
      <c r="G415" s="203"/>
      <c r="H415" s="203">
        <f t="shared" si="6"/>
        <v>413</v>
      </c>
      <c r="I415" s="208">
        <v>17100</v>
      </c>
      <c r="J415" s="208" t="s">
        <v>33</v>
      </c>
      <c r="K415" s="351"/>
      <c r="L415" s="351"/>
      <c r="M415" s="208"/>
      <c r="N415" s="208"/>
    </row>
    <row r="416" spans="1:14">
      <c r="A416" s="208"/>
      <c r="B416" s="354">
        <v>414</v>
      </c>
      <c r="C416" s="208" t="s">
        <v>61</v>
      </c>
      <c r="D416" s="237" t="s">
        <v>1092</v>
      </c>
      <c r="E416" s="208"/>
      <c r="F416" s="208" t="s">
        <v>1093</v>
      </c>
      <c r="G416" s="203"/>
      <c r="H416" s="203">
        <f t="shared" si="6"/>
        <v>414</v>
      </c>
      <c r="I416" s="208">
        <v>17290</v>
      </c>
      <c r="J416" s="208" t="s">
        <v>1094</v>
      </c>
      <c r="K416" s="351"/>
      <c r="L416" s="351"/>
      <c r="M416" s="208"/>
      <c r="N416" s="208"/>
    </row>
    <row r="417" spans="1:14">
      <c r="A417" s="208"/>
      <c r="B417" s="354">
        <v>415</v>
      </c>
      <c r="C417" s="208" t="s">
        <v>16</v>
      </c>
      <c r="D417" s="237" t="s">
        <v>1095</v>
      </c>
      <c r="E417" s="208" t="s">
        <v>1098</v>
      </c>
      <c r="F417" s="208" t="s">
        <v>1097</v>
      </c>
      <c r="G417" s="203"/>
      <c r="H417" s="203">
        <f t="shared" si="6"/>
        <v>415</v>
      </c>
      <c r="I417" s="208">
        <v>1400</v>
      </c>
      <c r="J417" s="208" t="s">
        <v>1096</v>
      </c>
      <c r="K417" s="351"/>
      <c r="L417" s="351"/>
      <c r="M417" s="208"/>
      <c r="N417" s="208"/>
    </row>
    <row r="418" spans="1:14">
      <c r="A418" s="208"/>
      <c r="B418" s="354">
        <v>416</v>
      </c>
      <c r="C418" s="208" t="s">
        <v>20</v>
      </c>
      <c r="D418" s="237" t="s">
        <v>1099</v>
      </c>
      <c r="E418" s="208" t="s">
        <v>226</v>
      </c>
      <c r="F418" s="208" t="s">
        <v>1100</v>
      </c>
      <c r="G418" s="203"/>
      <c r="H418" s="203">
        <f t="shared" si="6"/>
        <v>416</v>
      </c>
      <c r="I418" s="208">
        <v>17100</v>
      </c>
      <c r="J418" s="208" t="s">
        <v>33</v>
      </c>
      <c r="K418" s="351">
        <v>633795670</v>
      </c>
      <c r="L418" s="351"/>
      <c r="M418" s="208"/>
      <c r="N418" s="208"/>
    </row>
    <row r="419" spans="1:14">
      <c r="A419" s="208"/>
      <c r="B419" s="354">
        <v>417</v>
      </c>
      <c r="C419" s="208" t="s">
        <v>61</v>
      </c>
      <c r="D419" s="237" t="s">
        <v>1102</v>
      </c>
      <c r="E419" s="208"/>
      <c r="F419" s="208"/>
      <c r="G419" s="203"/>
      <c r="H419" s="203">
        <f t="shared" si="6"/>
        <v>417</v>
      </c>
      <c r="I419" s="208">
        <v>17600</v>
      </c>
      <c r="J419" s="208" t="s">
        <v>603</v>
      </c>
      <c r="K419" s="351"/>
      <c r="L419" s="351"/>
      <c r="M419" s="208"/>
      <c r="N419" s="208"/>
    </row>
    <row r="420" spans="1:14">
      <c r="A420" s="208"/>
      <c r="B420" s="354">
        <v>418</v>
      </c>
      <c r="C420" s="208" t="s">
        <v>61</v>
      </c>
      <c r="D420" s="237" t="s">
        <v>1103</v>
      </c>
      <c r="E420" s="208" t="s">
        <v>1104</v>
      </c>
      <c r="F420" s="208"/>
      <c r="G420" s="203"/>
      <c r="H420" s="203">
        <f t="shared" si="6"/>
        <v>418</v>
      </c>
      <c r="I420" s="208">
        <v>17600</v>
      </c>
      <c r="J420" s="208" t="s">
        <v>603</v>
      </c>
      <c r="K420" s="351"/>
      <c r="L420" s="351"/>
      <c r="M420" s="208"/>
      <c r="N420" s="208"/>
    </row>
    <row r="421" spans="1:14">
      <c r="A421" s="208"/>
      <c r="B421" s="354">
        <v>419</v>
      </c>
      <c r="C421" s="208" t="s">
        <v>20</v>
      </c>
      <c r="D421" s="237" t="s">
        <v>194</v>
      </c>
      <c r="E421" s="208" t="s">
        <v>1106</v>
      </c>
      <c r="F421" s="208"/>
      <c r="G421" s="203"/>
      <c r="H421" s="203">
        <f t="shared" si="6"/>
        <v>419</v>
      </c>
      <c r="I421" s="208">
        <v>40410</v>
      </c>
      <c r="J421" s="208" t="s">
        <v>1107</v>
      </c>
      <c r="K421" s="351"/>
      <c r="L421" s="351"/>
      <c r="M421" s="208"/>
      <c r="N421" s="208"/>
    </row>
    <row r="422" spans="1:14">
      <c r="A422" s="208"/>
      <c r="B422" s="354">
        <v>420</v>
      </c>
      <c r="C422" s="208" t="s">
        <v>61</v>
      </c>
      <c r="D422" s="237" t="s">
        <v>1108</v>
      </c>
      <c r="E422" s="208"/>
      <c r="F422" s="208" t="s">
        <v>1109</v>
      </c>
      <c r="G422" s="203"/>
      <c r="H422" s="203">
        <f t="shared" si="6"/>
        <v>420</v>
      </c>
      <c r="I422" s="208">
        <v>17600</v>
      </c>
      <c r="J422" s="208" t="s">
        <v>761</v>
      </c>
      <c r="K422" s="351"/>
      <c r="L422" s="351"/>
      <c r="M422" s="208"/>
      <c r="N422" s="208"/>
    </row>
    <row r="423" spans="1:14">
      <c r="A423" s="208"/>
      <c r="B423" s="354">
        <v>421</v>
      </c>
      <c r="C423" s="208" t="s">
        <v>960</v>
      </c>
      <c r="D423" s="237" t="s">
        <v>1223</v>
      </c>
      <c r="E423" s="208" t="s">
        <v>1224</v>
      </c>
      <c r="F423" s="208" t="s">
        <v>1222</v>
      </c>
      <c r="G423" s="203"/>
      <c r="H423" s="203">
        <f t="shared" si="6"/>
        <v>421</v>
      </c>
      <c r="I423" s="208">
        <v>17600</v>
      </c>
      <c r="J423" s="208" t="s">
        <v>603</v>
      </c>
      <c r="K423" s="351"/>
      <c r="L423" s="351"/>
      <c r="M423" s="208"/>
      <c r="N423" s="208"/>
    </row>
    <row r="424" spans="1:14">
      <c r="A424" s="208"/>
      <c r="B424" s="354">
        <v>422</v>
      </c>
      <c r="C424" s="208" t="s">
        <v>61</v>
      </c>
      <c r="D424" s="237" t="s">
        <v>1110</v>
      </c>
      <c r="E424" s="208"/>
      <c r="F424" s="208" t="s">
        <v>1111</v>
      </c>
      <c r="G424" s="203"/>
      <c r="H424" s="203">
        <f t="shared" si="6"/>
        <v>422</v>
      </c>
      <c r="I424" s="208">
        <v>17610</v>
      </c>
      <c r="J424" s="208" t="s">
        <v>52</v>
      </c>
      <c r="K424" s="351">
        <v>683319078</v>
      </c>
      <c r="L424" s="351">
        <v>546939073</v>
      </c>
      <c r="M424" s="208"/>
      <c r="N424" s="208"/>
    </row>
    <row r="425" spans="1:14">
      <c r="A425" s="208"/>
      <c r="B425" s="354">
        <v>423</v>
      </c>
      <c r="C425" s="208" t="s">
        <v>61</v>
      </c>
      <c r="D425" s="237" t="s">
        <v>1112</v>
      </c>
      <c r="E425" s="208"/>
      <c r="F425" s="208" t="s">
        <v>1113</v>
      </c>
      <c r="G425" s="203"/>
      <c r="H425" s="203">
        <f t="shared" si="6"/>
        <v>423</v>
      </c>
      <c r="I425" s="208">
        <v>17100</v>
      </c>
      <c r="J425" s="208" t="s">
        <v>33</v>
      </c>
      <c r="K425" s="351"/>
      <c r="L425" s="351"/>
      <c r="M425" s="208"/>
      <c r="N425" s="208"/>
    </row>
    <row r="426" spans="1:14">
      <c r="A426" s="208"/>
      <c r="B426" s="354">
        <v>424</v>
      </c>
      <c r="C426" s="208" t="s">
        <v>20</v>
      </c>
      <c r="D426" s="237" t="s">
        <v>1116</v>
      </c>
      <c r="E426" s="208" t="s">
        <v>1104</v>
      </c>
      <c r="F426" s="208" t="s">
        <v>1114</v>
      </c>
      <c r="G426" s="203"/>
      <c r="H426" s="203">
        <f t="shared" si="6"/>
        <v>424</v>
      </c>
      <c r="I426" s="208">
        <v>17600</v>
      </c>
      <c r="J426" s="208" t="s">
        <v>1115</v>
      </c>
      <c r="K426" s="351"/>
      <c r="L426" s="351"/>
      <c r="M426" s="208"/>
      <c r="N426" s="208"/>
    </row>
    <row r="427" spans="1:14">
      <c r="A427" s="208"/>
      <c r="B427" s="354">
        <v>425</v>
      </c>
      <c r="C427" s="208"/>
      <c r="D427" s="237" t="s">
        <v>1117</v>
      </c>
      <c r="E427" s="208"/>
      <c r="F427" s="208" t="s">
        <v>1118</v>
      </c>
      <c r="G427" s="203"/>
      <c r="H427" s="203">
        <f t="shared" si="6"/>
        <v>425</v>
      </c>
      <c r="I427" s="208">
        <v>17610</v>
      </c>
      <c r="J427" s="208" t="s">
        <v>52</v>
      </c>
      <c r="K427" s="351"/>
      <c r="L427" s="351"/>
      <c r="M427" s="208"/>
      <c r="N427" s="208"/>
    </row>
    <row r="428" spans="1:14">
      <c r="A428" s="208"/>
      <c r="B428" s="354">
        <v>426</v>
      </c>
      <c r="C428" s="208" t="s">
        <v>20</v>
      </c>
      <c r="D428" s="237" t="s">
        <v>1119</v>
      </c>
      <c r="E428" s="208"/>
      <c r="F428" s="208" t="s">
        <v>1120</v>
      </c>
      <c r="G428" s="203"/>
      <c r="H428" s="203">
        <f t="shared" si="6"/>
        <v>426</v>
      </c>
      <c r="I428" s="208">
        <v>17100</v>
      </c>
      <c r="J428" s="208" t="s">
        <v>357</v>
      </c>
      <c r="K428" s="351"/>
      <c r="L428" s="351">
        <v>546937068</v>
      </c>
      <c r="M428" s="208"/>
      <c r="N428" s="208"/>
    </row>
    <row r="429" spans="1:14">
      <c r="A429" s="208"/>
      <c r="B429" s="354">
        <v>427</v>
      </c>
      <c r="C429" s="208" t="s">
        <v>61</v>
      </c>
      <c r="D429" s="237" t="s">
        <v>983</v>
      </c>
      <c r="E429" s="208" t="s">
        <v>146</v>
      </c>
      <c r="F429" s="208"/>
      <c r="G429" s="203"/>
      <c r="H429" s="203">
        <f t="shared" si="6"/>
        <v>427</v>
      </c>
      <c r="I429" s="208">
        <v>16100</v>
      </c>
      <c r="J429" s="208" t="s">
        <v>1121</v>
      </c>
      <c r="K429" s="351"/>
      <c r="L429" s="351"/>
      <c r="M429" s="208"/>
      <c r="N429" s="208"/>
    </row>
    <row r="430" spans="1:14">
      <c r="A430" s="208"/>
      <c r="B430" s="354">
        <v>428</v>
      </c>
      <c r="C430" s="208" t="s">
        <v>61</v>
      </c>
      <c r="D430" s="237" t="s">
        <v>1122</v>
      </c>
      <c r="E430" s="208"/>
      <c r="F430" s="208" t="s">
        <v>1123</v>
      </c>
      <c r="G430" s="203"/>
      <c r="H430" s="203">
        <f t="shared" si="6"/>
        <v>428</v>
      </c>
      <c r="I430" s="208">
        <v>17460</v>
      </c>
      <c r="J430" s="208" t="s">
        <v>386</v>
      </c>
      <c r="K430" s="351"/>
      <c r="L430" s="351"/>
      <c r="M430" s="208"/>
      <c r="N430" s="208"/>
    </row>
    <row r="431" spans="1:14">
      <c r="A431" s="208"/>
      <c r="B431" s="354">
        <v>429</v>
      </c>
      <c r="C431" s="208" t="s">
        <v>68</v>
      </c>
      <c r="D431" s="237" t="s">
        <v>1124</v>
      </c>
      <c r="E431" s="208" t="s">
        <v>70</v>
      </c>
      <c r="F431" s="208" t="s">
        <v>1125</v>
      </c>
      <c r="G431" s="203"/>
      <c r="H431" s="203">
        <f t="shared" si="6"/>
        <v>429</v>
      </c>
      <c r="I431" s="208">
        <v>17100</v>
      </c>
      <c r="J431" s="208" t="s">
        <v>33</v>
      </c>
      <c r="K431" s="351">
        <v>602364610</v>
      </c>
      <c r="L431" s="351">
        <v>546954774</v>
      </c>
      <c r="M431" s="208"/>
      <c r="N431" s="208"/>
    </row>
    <row r="432" spans="1:14">
      <c r="A432" s="208"/>
      <c r="B432" s="354">
        <v>430</v>
      </c>
      <c r="C432" s="208" t="s">
        <v>20</v>
      </c>
      <c r="D432" s="237" t="s">
        <v>1126</v>
      </c>
      <c r="E432" s="208" t="s">
        <v>159</v>
      </c>
      <c r="F432" s="208" t="s">
        <v>1127</v>
      </c>
      <c r="G432" s="203"/>
      <c r="H432" s="203">
        <f t="shared" si="6"/>
        <v>430</v>
      </c>
      <c r="I432" s="208">
        <v>17100</v>
      </c>
      <c r="J432" s="208" t="s">
        <v>33</v>
      </c>
      <c r="K432" s="351"/>
      <c r="L432" s="351"/>
      <c r="M432" s="208"/>
      <c r="N432" s="208"/>
    </row>
    <row r="433" spans="1:14">
      <c r="A433" s="208"/>
      <c r="B433" s="354">
        <v>431</v>
      </c>
      <c r="C433" s="208" t="s">
        <v>61</v>
      </c>
      <c r="D433" s="237" t="s">
        <v>1128</v>
      </c>
      <c r="E433" s="208"/>
      <c r="F433" s="208" t="s">
        <v>1129</v>
      </c>
      <c r="G433" s="203"/>
      <c r="H433" s="203">
        <f t="shared" si="6"/>
        <v>431</v>
      </c>
      <c r="I433" s="208">
        <v>17100</v>
      </c>
      <c r="J433" s="208" t="s">
        <v>32</v>
      </c>
      <c r="K433" s="351"/>
      <c r="L433" s="351"/>
      <c r="M433" s="208"/>
      <c r="N433" s="208"/>
    </row>
    <row r="434" spans="1:14">
      <c r="A434" s="208"/>
      <c r="B434" s="354">
        <v>432</v>
      </c>
      <c r="C434" s="208" t="s">
        <v>20</v>
      </c>
      <c r="D434" s="237" t="s">
        <v>1130</v>
      </c>
      <c r="E434" s="208" t="s">
        <v>1131</v>
      </c>
      <c r="F434" s="208" t="s">
        <v>1132</v>
      </c>
      <c r="G434" s="203"/>
      <c r="H434" s="203">
        <f t="shared" si="6"/>
        <v>432</v>
      </c>
      <c r="I434" s="208">
        <v>17100</v>
      </c>
      <c r="J434" s="208" t="s">
        <v>33</v>
      </c>
      <c r="K434" s="351"/>
      <c r="L434" s="351"/>
      <c r="M434" s="208"/>
      <c r="N434" s="208"/>
    </row>
    <row r="435" spans="1:14">
      <c r="A435" s="208"/>
      <c r="B435" s="354">
        <v>433</v>
      </c>
      <c r="C435" s="208" t="s">
        <v>61</v>
      </c>
      <c r="D435" s="237" t="s">
        <v>1133</v>
      </c>
      <c r="E435" s="208" t="s">
        <v>88</v>
      </c>
      <c r="F435" s="208" t="s">
        <v>1134</v>
      </c>
      <c r="G435" s="203"/>
      <c r="H435" s="203">
        <f t="shared" si="6"/>
        <v>433</v>
      </c>
      <c r="I435" s="208">
        <v>17610</v>
      </c>
      <c r="J435" s="208" t="s">
        <v>52</v>
      </c>
      <c r="K435" s="351">
        <v>546911164</v>
      </c>
      <c r="L435" s="351"/>
      <c r="M435" s="208"/>
      <c r="N435" s="208"/>
    </row>
    <row r="436" spans="1:14">
      <c r="A436" s="208"/>
      <c r="B436" s="354">
        <v>434</v>
      </c>
      <c r="C436" s="208" t="s">
        <v>658</v>
      </c>
      <c r="D436" s="237" t="s">
        <v>1135</v>
      </c>
      <c r="E436" s="208" t="s">
        <v>1136</v>
      </c>
      <c r="F436" s="208" t="s">
        <v>1137</v>
      </c>
      <c r="G436" s="203"/>
      <c r="H436" s="203">
        <f t="shared" si="6"/>
        <v>434</v>
      </c>
      <c r="I436" s="208">
        <v>16370</v>
      </c>
      <c r="J436" s="208" t="s">
        <v>1138</v>
      </c>
      <c r="K436" s="351"/>
      <c r="L436" s="351"/>
      <c r="M436" s="208"/>
      <c r="N436" s="208"/>
    </row>
    <row r="437" spans="1:14">
      <c r="A437" s="208"/>
      <c r="B437" s="354">
        <v>435</v>
      </c>
      <c r="C437" s="208" t="s">
        <v>1141</v>
      </c>
      <c r="D437" s="237" t="s">
        <v>1142</v>
      </c>
      <c r="E437" s="208"/>
      <c r="F437" s="208" t="s">
        <v>1143</v>
      </c>
      <c r="G437" s="203"/>
      <c r="H437" s="203">
        <f t="shared" si="6"/>
        <v>435</v>
      </c>
      <c r="I437" s="208">
        <v>17300</v>
      </c>
      <c r="J437" s="208" t="s">
        <v>298</v>
      </c>
      <c r="K437" s="351"/>
      <c r="L437" s="351"/>
      <c r="M437" s="208"/>
      <c r="N437" s="208"/>
    </row>
    <row r="438" spans="1:14">
      <c r="A438" s="208"/>
      <c r="B438" s="354">
        <v>436</v>
      </c>
      <c r="C438" s="208" t="s">
        <v>61</v>
      </c>
      <c r="D438" s="237" t="s">
        <v>1144</v>
      </c>
      <c r="E438" s="208"/>
      <c r="F438" s="208" t="s">
        <v>1145</v>
      </c>
      <c r="G438" s="203"/>
      <c r="H438" s="203">
        <f t="shared" si="6"/>
        <v>436</v>
      </c>
      <c r="I438" s="208">
        <v>17100</v>
      </c>
      <c r="J438" s="208" t="s">
        <v>357</v>
      </c>
      <c r="K438" s="351"/>
      <c r="L438" s="351"/>
      <c r="M438" s="208"/>
      <c r="N438" s="208"/>
    </row>
    <row r="439" spans="1:14">
      <c r="A439" s="208"/>
      <c r="B439" s="354">
        <v>437</v>
      </c>
      <c r="C439" s="208" t="s">
        <v>61</v>
      </c>
      <c r="D439" s="237" t="s">
        <v>746</v>
      </c>
      <c r="E439" s="208"/>
      <c r="F439" s="208" t="s">
        <v>1146</v>
      </c>
      <c r="G439" s="203"/>
      <c r="H439" s="203">
        <f t="shared" si="6"/>
        <v>437</v>
      </c>
      <c r="I439" s="208">
        <v>17610</v>
      </c>
      <c r="J439" s="208" t="s">
        <v>52</v>
      </c>
      <c r="K439" s="351"/>
      <c r="L439" s="351"/>
      <c r="M439" s="208"/>
      <c r="N439" s="208"/>
    </row>
    <row r="440" spans="1:14">
      <c r="A440" s="208"/>
      <c r="B440" s="354">
        <v>438</v>
      </c>
      <c r="C440" s="208" t="s">
        <v>61</v>
      </c>
      <c r="D440" s="237" t="s">
        <v>1147</v>
      </c>
      <c r="E440" s="208"/>
      <c r="F440" s="208" t="s">
        <v>1148</v>
      </c>
      <c r="G440" s="203"/>
      <c r="H440" s="203">
        <f t="shared" si="6"/>
        <v>438</v>
      </c>
      <c r="I440" s="208">
        <v>17600</v>
      </c>
      <c r="J440" s="208" t="s">
        <v>603</v>
      </c>
      <c r="K440" s="351"/>
      <c r="L440" s="351"/>
      <c r="M440" s="208"/>
      <c r="N440" s="208"/>
    </row>
    <row r="441" spans="1:14">
      <c r="A441" s="208"/>
      <c r="B441" s="354">
        <v>439</v>
      </c>
      <c r="C441" s="208" t="s">
        <v>61</v>
      </c>
      <c r="D441" s="237" t="s">
        <v>1158</v>
      </c>
      <c r="E441" s="208"/>
      <c r="F441" s="208"/>
      <c r="G441" s="203"/>
      <c r="H441" s="203">
        <f t="shared" si="6"/>
        <v>439</v>
      </c>
      <c r="I441" s="208">
        <v>17100</v>
      </c>
      <c r="J441" s="208" t="s">
        <v>553</v>
      </c>
      <c r="K441" s="351"/>
      <c r="L441" s="351"/>
      <c r="M441" s="208"/>
      <c r="N441" s="208"/>
    </row>
    <row r="442" spans="1:14">
      <c r="A442" s="208"/>
      <c r="B442" s="354">
        <v>440</v>
      </c>
      <c r="C442" s="208" t="s">
        <v>16</v>
      </c>
      <c r="D442" s="237" t="s">
        <v>1159</v>
      </c>
      <c r="E442" s="208"/>
      <c r="F442" s="208" t="s">
        <v>1160</v>
      </c>
      <c r="G442" s="203"/>
      <c r="H442" s="203">
        <f t="shared" si="6"/>
        <v>440</v>
      </c>
      <c r="I442" s="208">
        <v>17100</v>
      </c>
      <c r="J442" s="208" t="s">
        <v>32</v>
      </c>
      <c r="K442" s="351"/>
      <c r="L442" s="351"/>
      <c r="M442" s="208"/>
      <c r="N442" s="208"/>
    </row>
    <row r="443" spans="1:14">
      <c r="A443" s="208"/>
      <c r="B443" s="354">
        <v>441</v>
      </c>
      <c r="C443" s="208" t="s">
        <v>61</v>
      </c>
      <c r="D443" s="237" t="s">
        <v>1163</v>
      </c>
      <c r="E443" s="208" t="s">
        <v>184</v>
      </c>
      <c r="F443" s="208" t="s">
        <v>1165</v>
      </c>
      <c r="G443" s="203"/>
      <c r="H443" s="203">
        <f t="shared" si="6"/>
        <v>441</v>
      </c>
      <c r="I443" s="208">
        <v>78000</v>
      </c>
      <c r="J443" s="208" t="s">
        <v>1164</v>
      </c>
      <c r="K443" s="351"/>
      <c r="L443" s="351"/>
      <c r="M443" s="208"/>
      <c r="N443" s="208"/>
    </row>
    <row r="444" spans="1:14">
      <c r="A444" s="208"/>
      <c r="B444" s="354">
        <v>442</v>
      </c>
      <c r="C444" s="208" t="s">
        <v>16</v>
      </c>
      <c r="D444" s="237" t="s">
        <v>1169</v>
      </c>
      <c r="E444" s="208" t="s">
        <v>1170</v>
      </c>
      <c r="F444" s="237" t="s">
        <v>1171</v>
      </c>
      <c r="G444" s="203"/>
      <c r="H444" s="203">
        <f t="shared" si="6"/>
        <v>442</v>
      </c>
      <c r="I444" s="208">
        <v>17800</v>
      </c>
      <c r="J444" s="208" t="s">
        <v>1172</v>
      </c>
      <c r="K444" s="351">
        <v>546913787</v>
      </c>
      <c r="L444" s="351"/>
      <c r="M444" s="208"/>
      <c r="N444" s="208"/>
    </row>
    <row r="445" spans="1:14">
      <c r="A445" s="208"/>
      <c r="B445" s="354">
        <v>443</v>
      </c>
      <c r="C445" s="208" t="s">
        <v>16</v>
      </c>
      <c r="D445" s="237" t="s">
        <v>1173</v>
      </c>
      <c r="E445" s="208" t="s">
        <v>1174</v>
      </c>
      <c r="F445" s="237" t="s">
        <v>1175</v>
      </c>
      <c r="G445" s="203"/>
      <c r="H445" s="203">
        <f t="shared" si="6"/>
        <v>443</v>
      </c>
      <c r="I445" s="208">
        <v>17610</v>
      </c>
      <c r="J445" s="208" t="s">
        <v>52</v>
      </c>
      <c r="K445" s="351">
        <v>546910221</v>
      </c>
      <c r="L445" s="351">
        <v>669352444</v>
      </c>
      <c r="M445" s="208"/>
      <c r="N445" s="208"/>
    </row>
    <row r="446" spans="1:14">
      <c r="A446" s="208"/>
      <c r="B446" s="354">
        <v>444</v>
      </c>
      <c r="C446" s="208" t="s">
        <v>61</v>
      </c>
      <c r="D446" s="237" t="s">
        <v>1176</v>
      </c>
      <c r="E446" s="208"/>
      <c r="F446" s="237" t="s">
        <v>1177</v>
      </c>
      <c r="G446" s="203"/>
      <c r="H446" s="203">
        <f t="shared" si="6"/>
        <v>444</v>
      </c>
      <c r="I446" s="208">
        <v>17610</v>
      </c>
      <c r="J446" s="208" t="s">
        <v>52</v>
      </c>
      <c r="K446" s="351"/>
      <c r="L446" s="351">
        <v>688310851</v>
      </c>
      <c r="M446" s="208"/>
      <c r="N446" s="208"/>
    </row>
    <row r="447" spans="1:14">
      <c r="A447" s="208"/>
      <c r="B447" s="354">
        <v>445</v>
      </c>
      <c r="C447" s="208" t="s">
        <v>61</v>
      </c>
      <c r="D447" s="237" t="s">
        <v>1183</v>
      </c>
      <c r="E447" s="208"/>
      <c r="F447" s="237" t="s">
        <v>1184</v>
      </c>
      <c r="G447" s="203"/>
      <c r="H447" s="203">
        <f t="shared" si="6"/>
        <v>445</v>
      </c>
      <c r="I447" s="208">
        <v>17100</v>
      </c>
      <c r="J447" s="208" t="s">
        <v>33</v>
      </c>
      <c r="K447" s="351"/>
      <c r="L447" s="351"/>
      <c r="M447" s="208"/>
      <c r="N447" s="208"/>
    </row>
    <row r="448" spans="1:14">
      <c r="A448" s="208"/>
      <c r="B448" s="354">
        <v>446</v>
      </c>
      <c r="C448" s="208" t="s">
        <v>61</v>
      </c>
      <c r="D448" s="237" t="s">
        <v>1185</v>
      </c>
      <c r="E448" s="208"/>
      <c r="F448" s="237" t="s">
        <v>1186</v>
      </c>
      <c r="G448" s="203"/>
      <c r="H448" s="203">
        <f t="shared" si="6"/>
        <v>446</v>
      </c>
      <c r="I448" s="208">
        <v>17100</v>
      </c>
      <c r="J448" s="208" t="s">
        <v>33</v>
      </c>
      <c r="K448" s="351"/>
      <c r="L448" s="351"/>
      <c r="M448" s="208"/>
      <c r="N448" s="208"/>
    </row>
    <row r="449" spans="1:14">
      <c r="A449" s="208"/>
      <c r="B449" s="354">
        <v>447</v>
      </c>
      <c r="C449" s="208" t="s">
        <v>20</v>
      </c>
      <c r="D449" s="237" t="s">
        <v>1187</v>
      </c>
      <c r="E449" s="208" t="s">
        <v>952</v>
      </c>
      <c r="F449" s="237" t="s">
        <v>1188</v>
      </c>
      <c r="G449" s="203"/>
      <c r="H449" s="203">
        <f t="shared" si="6"/>
        <v>447</v>
      </c>
      <c r="I449" s="208">
        <v>17100</v>
      </c>
      <c r="J449" s="208" t="s">
        <v>32</v>
      </c>
      <c r="K449" s="351"/>
      <c r="L449" s="351"/>
      <c r="M449" s="208"/>
      <c r="N449" s="208"/>
    </row>
    <row r="450" spans="1:14">
      <c r="A450" s="208"/>
      <c r="B450" s="354">
        <v>448</v>
      </c>
      <c r="C450" s="208" t="s">
        <v>61</v>
      </c>
      <c r="D450" s="237" t="s">
        <v>1192</v>
      </c>
      <c r="E450" s="208"/>
      <c r="F450" s="237" t="s">
        <v>1193</v>
      </c>
      <c r="G450" s="203"/>
      <c r="H450" s="203">
        <f t="shared" si="6"/>
        <v>448</v>
      </c>
      <c r="I450" s="208">
        <v>17460</v>
      </c>
      <c r="J450" s="208" t="s">
        <v>500</v>
      </c>
      <c r="K450" s="351"/>
      <c r="L450" s="351"/>
      <c r="M450" s="208"/>
      <c r="N450" s="208"/>
    </row>
    <row r="451" spans="1:14">
      <c r="A451" s="208"/>
      <c r="B451" s="354">
        <v>449</v>
      </c>
      <c r="C451" s="208" t="s">
        <v>20</v>
      </c>
      <c r="D451" s="237" t="s">
        <v>1196</v>
      </c>
      <c r="E451" s="208"/>
      <c r="F451" s="237" t="s">
        <v>46</v>
      </c>
      <c r="G451" s="203"/>
      <c r="H451" s="203">
        <f t="shared" si="6"/>
        <v>449</v>
      </c>
      <c r="I451" s="208">
        <v>17100</v>
      </c>
      <c r="J451" s="208" t="s">
        <v>33</v>
      </c>
      <c r="K451" s="351"/>
      <c r="L451" s="351"/>
      <c r="M451" s="208"/>
      <c r="N451" s="208"/>
    </row>
    <row r="452" spans="1:14">
      <c r="A452" s="208"/>
      <c r="B452" s="354">
        <v>450</v>
      </c>
      <c r="C452" s="208" t="s">
        <v>61</v>
      </c>
      <c r="D452" s="237" t="s">
        <v>1197</v>
      </c>
      <c r="E452" s="208"/>
      <c r="F452" s="237" t="s">
        <v>1198</v>
      </c>
      <c r="G452" s="203"/>
      <c r="H452" s="203">
        <f t="shared" ref="H452:H515" si="7">B452</f>
        <v>450</v>
      </c>
      <c r="I452" s="208">
        <v>16200</v>
      </c>
      <c r="J452" s="208" t="s">
        <v>1199</v>
      </c>
      <c r="K452" s="351"/>
      <c r="L452" s="351"/>
      <c r="M452" s="208"/>
      <c r="N452" s="208"/>
    </row>
    <row r="453" spans="1:14">
      <c r="A453" s="208"/>
      <c r="B453" s="354">
        <v>451</v>
      </c>
      <c r="C453" s="208" t="s">
        <v>16</v>
      </c>
      <c r="D453" s="237" t="s">
        <v>1200</v>
      </c>
      <c r="E453" s="208" t="s">
        <v>1201</v>
      </c>
      <c r="F453" s="237" t="s">
        <v>1202</v>
      </c>
      <c r="G453" s="203"/>
      <c r="H453" s="203">
        <f t="shared" si="7"/>
        <v>451</v>
      </c>
      <c r="I453" s="208">
        <v>17810</v>
      </c>
      <c r="J453" s="208" t="s">
        <v>55</v>
      </c>
      <c r="K453" s="351"/>
      <c r="L453" s="351"/>
      <c r="M453" s="208"/>
      <c r="N453" s="208"/>
    </row>
    <row r="454" spans="1:14">
      <c r="A454" s="208"/>
      <c r="B454" s="354">
        <v>452</v>
      </c>
      <c r="C454" s="208" t="s">
        <v>20</v>
      </c>
      <c r="D454" s="237" t="s">
        <v>1075</v>
      </c>
      <c r="E454" s="208" t="s">
        <v>70</v>
      </c>
      <c r="F454" s="237" t="s">
        <v>1203</v>
      </c>
      <c r="G454" s="203"/>
      <c r="H454" s="203">
        <f t="shared" si="7"/>
        <v>452</v>
      </c>
      <c r="I454" s="208">
        <v>17100</v>
      </c>
      <c r="J454" s="208" t="s">
        <v>33</v>
      </c>
      <c r="K454" s="351"/>
      <c r="L454" s="351"/>
      <c r="M454" s="208"/>
      <c r="N454" s="208"/>
    </row>
    <row r="455" spans="1:14">
      <c r="A455" s="208"/>
      <c r="B455" s="354">
        <v>453</v>
      </c>
      <c r="C455" s="208" t="s">
        <v>20</v>
      </c>
      <c r="D455" s="237" t="s">
        <v>1204</v>
      </c>
      <c r="E455" s="208" t="s">
        <v>153</v>
      </c>
      <c r="F455" s="237" t="s">
        <v>83</v>
      </c>
      <c r="G455" s="203"/>
      <c r="H455" s="203">
        <f t="shared" si="7"/>
        <v>453</v>
      </c>
      <c r="I455" s="208">
        <v>17100</v>
      </c>
      <c r="J455" s="208" t="s">
        <v>33</v>
      </c>
      <c r="K455" s="351"/>
      <c r="L455" s="351"/>
      <c r="M455" s="208"/>
      <c r="N455" s="208"/>
    </row>
    <row r="456" spans="1:14">
      <c r="A456" s="208"/>
      <c r="B456" s="354">
        <v>454</v>
      </c>
      <c r="C456" s="208" t="s">
        <v>61</v>
      </c>
      <c r="D456" s="237" t="s">
        <v>1205</v>
      </c>
      <c r="E456" s="208"/>
      <c r="F456" s="237" t="s">
        <v>1206</v>
      </c>
      <c r="G456" s="203"/>
      <c r="H456" s="203">
        <f t="shared" si="7"/>
        <v>454</v>
      </c>
      <c r="I456" s="208">
        <v>17610</v>
      </c>
      <c r="J456" s="208" t="s">
        <v>52</v>
      </c>
      <c r="K456" s="351"/>
      <c r="L456" s="351"/>
      <c r="M456" s="208"/>
      <c r="N456" s="208"/>
    </row>
    <row r="457" spans="1:14">
      <c r="A457" s="208"/>
      <c r="B457" s="354">
        <v>455</v>
      </c>
      <c r="C457" s="208" t="s">
        <v>20</v>
      </c>
      <c r="D457" s="237" t="s">
        <v>1130</v>
      </c>
      <c r="E457" s="208" t="s">
        <v>1131</v>
      </c>
      <c r="F457" s="237" t="s">
        <v>1207</v>
      </c>
      <c r="G457" s="203"/>
      <c r="H457" s="203">
        <f t="shared" si="7"/>
        <v>455</v>
      </c>
      <c r="I457" s="208">
        <v>17100</v>
      </c>
      <c r="J457" s="208" t="s">
        <v>33</v>
      </c>
      <c r="K457" s="351"/>
      <c r="L457" s="351"/>
      <c r="M457" s="208"/>
      <c r="N457" s="208"/>
    </row>
    <row r="458" spans="1:14">
      <c r="A458" s="208"/>
      <c r="B458" s="354">
        <v>456</v>
      </c>
      <c r="C458" s="208" t="s">
        <v>16</v>
      </c>
      <c r="D458" s="237" t="s">
        <v>1208</v>
      </c>
      <c r="E458" s="208" t="s">
        <v>1209</v>
      </c>
      <c r="F458" s="237" t="s">
        <v>1210</v>
      </c>
      <c r="G458" s="203"/>
      <c r="H458" s="203">
        <f t="shared" si="7"/>
        <v>456</v>
      </c>
      <c r="I458" s="208">
        <v>17100</v>
      </c>
      <c r="J458" s="208" t="s">
        <v>33</v>
      </c>
      <c r="K458" s="351"/>
      <c r="L458" s="351"/>
      <c r="M458" s="208"/>
      <c r="N458" s="208"/>
    </row>
    <row r="459" spans="1:14">
      <c r="A459" s="208"/>
      <c r="B459" s="354">
        <v>457</v>
      </c>
      <c r="C459" s="208" t="s">
        <v>1211</v>
      </c>
      <c r="D459" s="237" t="s">
        <v>1212</v>
      </c>
      <c r="E459" s="208"/>
      <c r="F459" s="237" t="s">
        <v>1220</v>
      </c>
      <c r="G459" s="203"/>
      <c r="H459" s="203">
        <f t="shared" si="7"/>
        <v>457</v>
      </c>
      <c r="I459" s="208">
        <v>1700</v>
      </c>
      <c r="J459" s="208" t="s">
        <v>33</v>
      </c>
      <c r="K459" s="351"/>
      <c r="L459" s="351"/>
      <c r="M459" s="208"/>
      <c r="N459" s="208"/>
    </row>
    <row r="460" spans="1:14">
      <c r="A460" s="208"/>
      <c r="B460" s="354">
        <v>458</v>
      </c>
      <c r="C460" s="208"/>
      <c r="D460" s="237" t="s">
        <v>1213</v>
      </c>
      <c r="E460" s="208"/>
      <c r="F460" s="237" t="s">
        <v>1214</v>
      </c>
      <c r="G460" s="203"/>
      <c r="H460" s="203">
        <f t="shared" si="7"/>
        <v>458</v>
      </c>
      <c r="I460" s="208">
        <v>17100</v>
      </c>
      <c r="J460" s="208" t="s">
        <v>33</v>
      </c>
      <c r="K460" s="351"/>
      <c r="L460" s="351"/>
      <c r="M460" s="208"/>
      <c r="N460" s="208"/>
    </row>
    <row r="461" spans="1:14">
      <c r="A461" s="208"/>
      <c r="B461" s="354">
        <v>459</v>
      </c>
      <c r="C461" s="208" t="s">
        <v>16</v>
      </c>
      <c r="D461" s="237" t="s">
        <v>1215</v>
      </c>
      <c r="E461" s="208" t="s">
        <v>672</v>
      </c>
      <c r="F461" s="237" t="s">
        <v>1216</v>
      </c>
      <c r="G461" s="203"/>
      <c r="H461" s="203">
        <f t="shared" si="7"/>
        <v>459</v>
      </c>
      <c r="I461" s="208">
        <v>17610</v>
      </c>
      <c r="J461" s="208" t="s">
        <v>52</v>
      </c>
      <c r="K461" s="351"/>
      <c r="L461" s="351"/>
      <c r="M461" s="208"/>
      <c r="N461" s="208"/>
    </row>
    <row r="462" spans="1:14">
      <c r="A462" s="208"/>
      <c r="B462" s="354">
        <v>460</v>
      </c>
      <c r="C462" s="208" t="s">
        <v>658</v>
      </c>
      <c r="D462" s="237" t="s">
        <v>1217</v>
      </c>
      <c r="E462" s="208" t="s">
        <v>1218</v>
      </c>
      <c r="F462" s="237" t="s">
        <v>1219</v>
      </c>
      <c r="G462" s="203"/>
      <c r="H462" s="203">
        <f t="shared" si="7"/>
        <v>460</v>
      </c>
      <c r="I462" s="208">
        <v>17100</v>
      </c>
      <c r="J462" s="208" t="s">
        <v>188</v>
      </c>
      <c r="K462" s="351"/>
      <c r="L462" s="351"/>
      <c r="M462" s="208"/>
      <c r="N462" s="208"/>
    </row>
    <row r="463" spans="1:14">
      <c r="A463" s="208"/>
      <c r="B463" s="354">
        <v>461</v>
      </c>
      <c r="C463" s="208"/>
      <c r="D463" s="237" t="s">
        <v>1221</v>
      </c>
      <c r="E463" s="208"/>
      <c r="F463" s="208"/>
      <c r="G463" s="203"/>
      <c r="H463" s="203">
        <f t="shared" si="7"/>
        <v>461</v>
      </c>
      <c r="I463" s="208">
        <v>17100</v>
      </c>
      <c r="J463" s="208" t="s">
        <v>33</v>
      </c>
      <c r="K463" s="351"/>
      <c r="L463" s="351"/>
      <c r="M463" s="208"/>
      <c r="N463" s="208"/>
    </row>
    <row r="464" spans="1:14">
      <c r="A464" s="208"/>
      <c r="B464" s="354">
        <v>462</v>
      </c>
      <c r="C464" s="208" t="s">
        <v>1225</v>
      </c>
      <c r="D464" s="237" t="s">
        <v>1226</v>
      </c>
      <c r="E464" s="208" t="s">
        <v>374</v>
      </c>
      <c r="F464" s="208" t="s">
        <v>1227</v>
      </c>
      <c r="G464" s="203"/>
      <c r="H464" s="203">
        <f t="shared" si="7"/>
        <v>462</v>
      </c>
      <c r="I464" s="208">
        <v>16100</v>
      </c>
      <c r="J464" s="208" t="s">
        <v>1228</v>
      </c>
      <c r="K464" s="351"/>
      <c r="L464" s="351"/>
      <c r="M464" s="208"/>
      <c r="N464" s="208"/>
    </row>
    <row r="465" spans="1:14">
      <c r="A465" s="208"/>
      <c r="B465" s="354">
        <v>463</v>
      </c>
      <c r="C465" s="208" t="s">
        <v>20</v>
      </c>
      <c r="D465" s="237" t="s">
        <v>504</v>
      </c>
      <c r="E465" s="208"/>
      <c r="F465" s="208"/>
      <c r="G465" s="203"/>
      <c r="H465" s="203">
        <f t="shared" si="7"/>
        <v>463</v>
      </c>
      <c r="I465" s="208">
        <v>17100</v>
      </c>
      <c r="J465" s="208" t="s">
        <v>33</v>
      </c>
      <c r="K465" s="351"/>
      <c r="L465" s="351"/>
      <c r="M465" s="208"/>
      <c r="N465" s="208"/>
    </row>
    <row r="466" spans="1:14">
      <c r="A466" s="208"/>
      <c r="B466" s="354">
        <v>464</v>
      </c>
      <c r="C466" s="208" t="s">
        <v>16</v>
      </c>
      <c r="D466" s="237" t="s">
        <v>620</v>
      </c>
      <c r="E466" s="208"/>
      <c r="F466" s="208"/>
      <c r="G466" s="203"/>
      <c r="H466" s="203">
        <f t="shared" si="7"/>
        <v>464</v>
      </c>
      <c r="I466" s="208">
        <v>17130</v>
      </c>
      <c r="J466" s="208" t="s">
        <v>1231</v>
      </c>
      <c r="K466" s="351"/>
      <c r="L466" s="351"/>
      <c r="M466" s="208"/>
      <c r="N466" s="208"/>
    </row>
    <row r="467" spans="1:14">
      <c r="A467" s="208"/>
      <c r="B467" s="354">
        <v>465</v>
      </c>
      <c r="C467" s="208" t="s">
        <v>61</v>
      </c>
      <c r="D467" s="237" t="s">
        <v>1229</v>
      </c>
      <c r="E467" s="208"/>
      <c r="F467" s="208" t="s">
        <v>1230</v>
      </c>
      <c r="G467" s="203"/>
      <c r="H467" s="203">
        <f t="shared" si="7"/>
        <v>465</v>
      </c>
      <c r="I467" s="208">
        <v>17100</v>
      </c>
      <c r="J467" s="208" t="s">
        <v>33</v>
      </c>
      <c r="K467" s="351"/>
      <c r="L467" s="351"/>
      <c r="M467" s="208"/>
      <c r="N467" s="208"/>
    </row>
    <row r="468" spans="1:14">
      <c r="A468" s="208"/>
      <c r="B468" s="354">
        <v>466</v>
      </c>
      <c r="C468" s="208" t="s">
        <v>61</v>
      </c>
      <c r="D468" s="237" t="s">
        <v>1232</v>
      </c>
      <c r="E468" s="208"/>
      <c r="F468" s="208"/>
      <c r="G468" s="203"/>
      <c r="H468" s="203">
        <f t="shared" si="7"/>
        <v>466</v>
      </c>
      <c r="I468" s="208">
        <v>17100</v>
      </c>
      <c r="J468" s="208" t="s">
        <v>33</v>
      </c>
      <c r="K468" s="351"/>
      <c r="L468" s="351"/>
      <c r="M468" s="208"/>
      <c r="N468" s="208"/>
    </row>
    <row r="469" spans="1:14">
      <c r="A469" s="208"/>
      <c r="B469" s="354">
        <v>467</v>
      </c>
      <c r="C469" s="208" t="s">
        <v>16</v>
      </c>
      <c r="D469" s="237" t="s">
        <v>1233</v>
      </c>
      <c r="E469" s="208"/>
      <c r="F469" s="208" t="s">
        <v>1234</v>
      </c>
      <c r="G469" s="203"/>
      <c r="H469" s="203">
        <f t="shared" si="7"/>
        <v>467</v>
      </c>
      <c r="I469" s="208">
        <v>17100</v>
      </c>
      <c r="J469" s="208" t="s">
        <v>33</v>
      </c>
      <c r="K469" s="351"/>
      <c r="L469" s="351"/>
      <c r="M469" s="208"/>
      <c r="N469" s="208"/>
    </row>
    <row r="470" spans="1:14">
      <c r="A470" s="208"/>
      <c r="B470" s="354">
        <v>468</v>
      </c>
      <c r="C470" s="208" t="s">
        <v>61</v>
      </c>
      <c r="D470" s="237" t="s">
        <v>1235</v>
      </c>
      <c r="E470" s="208"/>
      <c r="F470" s="208" t="s">
        <v>1236</v>
      </c>
      <c r="G470" s="203"/>
      <c r="H470" s="203">
        <f t="shared" si="7"/>
        <v>468</v>
      </c>
      <c r="I470" s="208">
        <v>17100</v>
      </c>
      <c r="J470" s="208" t="s">
        <v>33</v>
      </c>
      <c r="K470" s="351"/>
      <c r="L470" s="351"/>
      <c r="M470" s="208"/>
      <c r="N470" s="208"/>
    </row>
    <row r="471" spans="1:14">
      <c r="A471" s="208"/>
      <c r="B471" s="354">
        <v>469</v>
      </c>
      <c r="C471" s="208"/>
      <c r="D471" s="237" t="s">
        <v>1237</v>
      </c>
      <c r="E471" s="208"/>
      <c r="F471" s="208" t="s">
        <v>1238</v>
      </c>
      <c r="G471" s="203"/>
      <c r="H471" s="203">
        <f t="shared" si="7"/>
        <v>469</v>
      </c>
      <c r="I471" s="208">
        <v>17100</v>
      </c>
      <c r="J471" s="208" t="s">
        <v>32</v>
      </c>
      <c r="K471" s="351"/>
      <c r="L471" s="351"/>
      <c r="M471" s="208"/>
      <c r="N471" s="208"/>
    </row>
    <row r="472" spans="1:14">
      <c r="A472" s="208"/>
      <c r="B472" s="354">
        <v>470</v>
      </c>
      <c r="C472" s="208" t="s">
        <v>16</v>
      </c>
      <c r="D472" s="237" t="s">
        <v>1239</v>
      </c>
      <c r="E472" s="208"/>
      <c r="F472" s="208" t="s">
        <v>1240</v>
      </c>
      <c r="G472" s="203"/>
      <c r="H472" s="203">
        <f t="shared" si="7"/>
        <v>470</v>
      </c>
      <c r="I472" s="208">
        <v>17100</v>
      </c>
      <c r="J472" s="208" t="s">
        <v>33</v>
      </c>
      <c r="K472" s="351"/>
      <c r="L472" s="351"/>
      <c r="M472" s="208"/>
      <c r="N472" s="208"/>
    </row>
    <row r="473" spans="1:14">
      <c r="A473" s="208"/>
      <c r="B473" s="354">
        <v>471</v>
      </c>
      <c r="C473" s="208" t="s">
        <v>20</v>
      </c>
      <c r="D473" s="237" t="s">
        <v>1241</v>
      </c>
      <c r="E473" s="208"/>
      <c r="F473" s="208" t="s">
        <v>1242</v>
      </c>
      <c r="G473" s="203"/>
      <c r="H473" s="203">
        <f t="shared" si="7"/>
        <v>471</v>
      </c>
      <c r="I473" s="208">
        <v>17100</v>
      </c>
      <c r="J473" s="208" t="s">
        <v>80</v>
      </c>
      <c r="K473" s="351"/>
      <c r="L473" s="351"/>
      <c r="M473" s="208"/>
      <c r="N473" s="208"/>
    </row>
    <row r="474" spans="1:14">
      <c r="A474" s="208"/>
      <c r="B474" s="354">
        <v>472</v>
      </c>
      <c r="C474" s="208" t="s">
        <v>20</v>
      </c>
      <c r="D474" s="237" t="s">
        <v>1243</v>
      </c>
      <c r="E474" s="208" t="s">
        <v>57</v>
      </c>
      <c r="F474" s="208" t="s">
        <v>1244</v>
      </c>
      <c r="G474" s="203"/>
      <c r="H474" s="203">
        <f t="shared" si="7"/>
        <v>472</v>
      </c>
      <c r="I474" s="208">
        <v>17100</v>
      </c>
      <c r="J474" s="208" t="s">
        <v>33</v>
      </c>
      <c r="K474" s="351"/>
      <c r="L474" s="351"/>
      <c r="M474" s="208"/>
      <c r="N474" s="208"/>
    </row>
    <row r="475" spans="1:14">
      <c r="A475" s="208"/>
      <c r="B475" s="354">
        <v>473</v>
      </c>
      <c r="C475" s="208" t="s">
        <v>20</v>
      </c>
      <c r="D475" s="237" t="s">
        <v>349</v>
      </c>
      <c r="E475" s="208" t="s">
        <v>342</v>
      </c>
      <c r="F475" s="208" t="s">
        <v>666</v>
      </c>
      <c r="G475" s="203"/>
      <c r="H475" s="203">
        <f t="shared" si="7"/>
        <v>473</v>
      </c>
      <c r="I475" s="208">
        <v>17100</v>
      </c>
      <c r="J475" s="208" t="s">
        <v>33</v>
      </c>
      <c r="K475" s="351"/>
      <c r="L475" s="351"/>
      <c r="M475" s="208"/>
      <c r="N475" s="208"/>
    </row>
    <row r="476" spans="1:14">
      <c r="A476" s="208"/>
      <c r="B476" s="354">
        <v>474</v>
      </c>
      <c r="C476" s="208" t="s">
        <v>20</v>
      </c>
      <c r="D476" s="237" t="s">
        <v>1246</v>
      </c>
      <c r="E476" s="208" t="s">
        <v>143</v>
      </c>
      <c r="F476" s="208" t="s">
        <v>1247</v>
      </c>
      <c r="G476" s="203"/>
      <c r="H476" s="203">
        <f t="shared" si="7"/>
        <v>474</v>
      </c>
      <c r="I476" s="208">
        <v>17100</v>
      </c>
      <c r="J476" s="208" t="s">
        <v>32</v>
      </c>
      <c r="K476" s="351"/>
      <c r="L476" s="351"/>
      <c r="M476" s="208"/>
      <c r="N476" s="208"/>
    </row>
    <row r="477" spans="1:14">
      <c r="A477" s="208"/>
      <c r="B477" s="354">
        <v>475</v>
      </c>
      <c r="C477" s="208" t="s">
        <v>1225</v>
      </c>
      <c r="D477" s="237" t="s">
        <v>1262</v>
      </c>
      <c r="E477" s="208"/>
      <c r="F477" s="208" t="s">
        <v>1263</v>
      </c>
      <c r="G477" s="203"/>
      <c r="H477" s="203">
        <f t="shared" si="7"/>
        <v>475</v>
      </c>
      <c r="I477" s="208">
        <v>17100</v>
      </c>
      <c r="J477" s="208" t="s">
        <v>32</v>
      </c>
      <c r="K477" s="351"/>
      <c r="L477" s="351"/>
      <c r="M477" s="208"/>
      <c r="N477" s="208"/>
    </row>
    <row r="478" spans="1:14">
      <c r="A478" s="208"/>
      <c r="B478" s="354">
        <v>476</v>
      </c>
      <c r="C478" s="208" t="s">
        <v>1265</v>
      </c>
      <c r="D478" s="237" t="s">
        <v>1264</v>
      </c>
      <c r="E478" s="208" t="s">
        <v>1266</v>
      </c>
      <c r="F478" s="208" t="s">
        <v>1267</v>
      </c>
      <c r="G478" s="203"/>
      <c r="H478" s="203">
        <f t="shared" si="7"/>
        <v>476</v>
      </c>
      <c r="I478" s="208">
        <v>75012</v>
      </c>
      <c r="J478" s="208" t="s">
        <v>909</v>
      </c>
      <c r="K478" s="351"/>
      <c r="L478" s="351"/>
      <c r="M478" s="208"/>
      <c r="N478" s="208"/>
    </row>
    <row r="479" spans="1:14">
      <c r="A479" s="208"/>
      <c r="B479" s="354">
        <v>477</v>
      </c>
      <c r="C479" s="208" t="s">
        <v>1271</v>
      </c>
      <c r="D479" s="237" t="s">
        <v>1272</v>
      </c>
      <c r="E479" s="208"/>
      <c r="F479" s="208"/>
      <c r="G479" s="203"/>
      <c r="H479" s="203">
        <f t="shared" si="7"/>
        <v>477</v>
      </c>
      <c r="I479" s="208">
        <v>17390</v>
      </c>
      <c r="J479" s="208" t="s">
        <v>1273</v>
      </c>
      <c r="K479" s="351"/>
      <c r="L479" s="351"/>
      <c r="M479" s="208"/>
      <c r="N479" s="208"/>
    </row>
    <row r="480" spans="1:14">
      <c r="A480" s="208"/>
      <c r="B480" s="354">
        <v>478</v>
      </c>
      <c r="C480" s="208" t="s">
        <v>1283</v>
      </c>
      <c r="D480" s="237" t="s">
        <v>1284</v>
      </c>
      <c r="E480" s="208"/>
      <c r="F480" s="208" t="s">
        <v>1285</v>
      </c>
      <c r="G480" s="203"/>
      <c r="H480" s="203">
        <f t="shared" si="7"/>
        <v>478</v>
      </c>
      <c r="I480" s="208">
        <v>17100</v>
      </c>
      <c r="J480" s="208" t="s">
        <v>33</v>
      </c>
      <c r="K480" s="351"/>
      <c r="L480" s="351"/>
      <c r="M480" s="208"/>
      <c r="N480" s="208"/>
    </row>
    <row r="481" spans="1:14">
      <c r="A481" s="208"/>
      <c r="B481" s="354">
        <v>479</v>
      </c>
      <c r="C481" s="208" t="s">
        <v>658</v>
      </c>
      <c r="D481" s="237" t="s">
        <v>1286</v>
      </c>
      <c r="E481" s="208" t="s">
        <v>774</v>
      </c>
      <c r="F481" s="208" t="s">
        <v>1287</v>
      </c>
      <c r="G481" s="203"/>
      <c r="H481" s="203">
        <f t="shared" si="7"/>
        <v>479</v>
      </c>
      <c r="I481" s="208">
        <v>17100</v>
      </c>
      <c r="J481" s="208" t="s">
        <v>33</v>
      </c>
      <c r="K481" s="351"/>
      <c r="L481" s="351"/>
      <c r="M481" s="208"/>
      <c r="N481" s="208"/>
    </row>
    <row r="482" spans="1:14">
      <c r="A482" s="208"/>
      <c r="B482" s="354">
        <v>480</v>
      </c>
      <c r="C482" s="208" t="s">
        <v>1225</v>
      </c>
      <c r="D482" s="237" t="s">
        <v>1288</v>
      </c>
      <c r="E482" s="208"/>
      <c r="F482" s="208" t="s">
        <v>1289</v>
      </c>
      <c r="G482" s="203"/>
      <c r="H482" s="203">
        <f t="shared" si="7"/>
        <v>480</v>
      </c>
      <c r="I482" s="208">
        <v>17100</v>
      </c>
      <c r="J482" s="208" t="s">
        <v>357</v>
      </c>
      <c r="K482" s="351">
        <v>546742693</v>
      </c>
      <c r="L482" s="351">
        <v>612644677</v>
      </c>
      <c r="M482" s="208"/>
      <c r="N482" s="208"/>
    </row>
    <row r="483" spans="1:14">
      <c r="A483" s="208"/>
      <c r="B483" s="354">
        <v>481</v>
      </c>
      <c r="C483" s="208" t="s">
        <v>16</v>
      </c>
      <c r="D483" s="237" t="s">
        <v>1290</v>
      </c>
      <c r="E483" s="208" t="s">
        <v>1291</v>
      </c>
      <c r="F483" s="208" t="s">
        <v>1292</v>
      </c>
      <c r="G483" s="203"/>
      <c r="H483" s="203">
        <f t="shared" si="7"/>
        <v>481</v>
      </c>
      <c r="I483" s="208">
        <v>17180</v>
      </c>
      <c r="J483" s="208" t="s">
        <v>1293</v>
      </c>
      <c r="K483" s="351"/>
      <c r="L483" s="351"/>
      <c r="M483" s="208"/>
      <c r="N483" s="208"/>
    </row>
    <row r="484" spans="1:14">
      <c r="A484" s="208"/>
      <c r="B484" s="354">
        <v>482</v>
      </c>
      <c r="C484" s="208" t="s">
        <v>16</v>
      </c>
      <c r="D484" s="237" t="s">
        <v>349</v>
      </c>
      <c r="E484" s="208" t="s">
        <v>1294</v>
      </c>
      <c r="F484" s="208" t="s">
        <v>1295</v>
      </c>
      <c r="G484" s="203"/>
      <c r="H484" s="203">
        <f t="shared" si="7"/>
        <v>482</v>
      </c>
      <c r="I484" s="208">
        <v>17460</v>
      </c>
      <c r="J484" s="208" t="s">
        <v>500</v>
      </c>
      <c r="K484" s="351"/>
      <c r="L484" s="351"/>
      <c r="M484" s="208"/>
      <c r="N484" s="208"/>
    </row>
    <row r="485" spans="1:14">
      <c r="A485" s="208"/>
      <c r="B485" s="354">
        <v>483</v>
      </c>
      <c r="C485" s="208" t="s">
        <v>20</v>
      </c>
      <c r="D485" s="237" t="s">
        <v>504</v>
      </c>
      <c r="E485" s="208"/>
      <c r="F485" s="208"/>
      <c r="G485" s="203"/>
      <c r="H485" s="203">
        <f t="shared" si="7"/>
        <v>483</v>
      </c>
      <c r="I485" s="208">
        <v>17100</v>
      </c>
      <c r="J485" s="208" t="s">
        <v>33</v>
      </c>
      <c r="K485" s="351"/>
      <c r="L485" s="351"/>
      <c r="M485" s="208"/>
      <c r="N485" s="208"/>
    </row>
    <row r="486" spans="1:14">
      <c r="A486" s="208"/>
      <c r="B486" s="354">
        <v>484</v>
      </c>
      <c r="C486" s="208" t="s">
        <v>20</v>
      </c>
      <c r="D486" s="237" t="s">
        <v>727</v>
      </c>
      <c r="E486" s="208" t="s">
        <v>300</v>
      </c>
      <c r="F486" s="237" t="s">
        <v>1363</v>
      </c>
      <c r="G486" s="203"/>
      <c r="H486" s="203">
        <f t="shared" si="7"/>
        <v>484</v>
      </c>
      <c r="I486" s="208">
        <v>83210</v>
      </c>
      <c r="J486" s="208" t="s">
        <v>1364</v>
      </c>
      <c r="K486" s="351"/>
      <c r="L486" s="351"/>
      <c r="M486" s="208"/>
      <c r="N486" s="208"/>
    </row>
    <row r="487" spans="1:14">
      <c r="A487" s="208"/>
      <c r="B487" s="354">
        <v>485</v>
      </c>
      <c r="C487" s="208" t="s">
        <v>20</v>
      </c>
      <c r="D487" s="237" t="s">
        <v>1333</v>
      </c>
      <c r="E487" s="208" t="s">
        <v>57</v>
      </c>
      <c r="F487" s="208"/>
      <c r="G487" s="203"/>
      <c r="H487" s="203">
        <f t="shared" si="7"/>
        <v>485</v>
      </c>
      <c r="I487" s="208">
        <v>16</v>
      </c>
      <c r="J487" s="208" t="s">
        <v>1362</v>
      </c>
      <c r="K487" s="351"/>
      <c r="L487" s="351"/>
      <c r="M487" s="208"/>
      <c r="N487" s="208"/>
    </row>
    <row r="488" spans="1:14">
      <c r="A488" s="208"/>
      <c r="B488" s="354">
        <v>486</v>
      </c>
      <c r="C488" s="208" t="s">
        <v>16</v>
      </c>
      <c r="D488" s="237" t="s">
        <v>1346</v>
      </c>
      <c r="E488" s="208" t="s">
        <v>1357</v>
      </c>
      <c r="F488" s="237" t="s">
        <v>1358</v>
      </c>
      <c r="G488" s="203"/>
      <c r="H488" s="203">
        <f t="shared" si="7"/>
        <v>486</v>
      </c>
      <c r="I488" s="208">
        <v>16100</v>
      </c>
      <c r="J488" s="208" t="s">
        <v>178</v>
      </c>
      <c r="K488" s="351">
        <v>678669377</v>
      </c>
      <c r="L488" s="351"/>
      <c r="M488" s="208"/>
      <c r="N488" s="208"/>
    </row>
    <row r="489" spans="1:14">
      <c r="A489" s="208"/>
      <c r="B489" s="354">
        <v>487</v>
      </c>
      <c r="C489" s="208" t="s">
        <v>16</v>
      </c>
      <c r="D489" s="237" t="s">
        <v>1350</v>
      </c>
      <c r="E489" s="208" t="s">
        <v>1359</v>
      </c>
      <c r="F489" s="237" t="s">
        <v>1360</v>
      </c>
      <c r="G489" s="203"/>
      <c r="H489" s="203">
        <f t="shared" si="7"/>
        <v>487</v>
      </c>
      <c r="I489" s="208">
        <v>17160</v>
      </c>
      <c r="J489" s="208" t="s">
        <v>1361</v>
      </c>
      <c r="K489" s="351"/>
      <c r="L489" s="351"/>
      <c r="M489" s="208"/>
      <c r="N489" s="208"/>
    </row>
    <row r="490" spans="1:14">
      <c r="A490" s="208"/>
      <c r="B490" s="354">
        <v>488</v>
      </c>
      <c r="C490" s="208" t="s">
        <v>20</v>
      </c>
      <c r="D490" s="237" t="s">
        <v>1354</v>
      </c>
      <c r="E490" s="208" t="s">
        <v>159</v>
      </c>
      <c r="F490" s="237" t="s">
        <v>1355</v>
      </c>
      <c r="G490" s="203"/>
      <c r="H490" s="203">
        <f t="shared" si="7"/>
        <v>488</v>
      </c>
      <c r="I490" s="208">
        <v>17520</v>
      </c>
      <c r="J490" s="208" t="s">
        <v>1356</v>
      </c>
      <c r="K490" s="351"/>
      <c r="L490" s="351"/>
      <c r="M490" s="208"/>
      <c r="N490" s="208"/>
    </row>
    <row r="491" spans="1:14">
      <c r="A491" s="208"/>
      <c r="B491" s="354">
        <v>489</v>
      </c>
      <c r="C491" s="208" t="s">
        <v>16</v>
      </c>
      <c r="D491" s="237" t="s">
        <v>153</v>
      </c>
      <c r="E491" s="208" t="s">
        <v>182</v>
      </c>
      <c r="F491" s="237" t="s">
        <v>1370</v>
      </c>
      <c r="G491" s="203"/>
      <c r="H491" s="203">
        <f t="shared" si="7"/>
        <v>489</v>
      </c>
      <c r="I491" s="208">
        <v>67200</v>
      </c>
      <c r="J491" s="208" t="s">
        <v>1371</v>
      </c>
      <c r="K491" s="351"/>
      <c r="L491" s="351"/>
      <c r="M491" s="208"/>
      <c r="N491" s="208"/>
    </row>
    <row r="492" spans="1:14">
      <c r="A492" s="208"/>
      <c r="B492" s="354">
        <v>490</v>
      </c>
      <c r="C492" s="208" t="s">
        <v>20</v>
      </c>
      <c r="D492" s="237" t="s">
        <v>380</v>
      </c>
      <c r="E492" s="208" t="s">
        <v>1384</v>
      </c>
      <c r="F492" s="237" t="s">
        <v>1385</v>
      </c>
      <c r="G492" s="203"/>
      <c r="H492" s="203">
        <f t="shared" si="7"/>
        <v>490</v>
      </c>
      <c r="I492" s="208">
        <v>17460</v>
      </c>
      <c r="J492" s="208" t="s">
        <v>1386</v>
      </c>
      <c r="K492" s="351"/>
      <c r="L492" s="351"/>
      <c r="M492" s="208"/>
      <c r="N492" s="208"/>
    </row>
    <row r="493" spans="1:14">
      <c r="A493" s="208"/>
      <c r="B493" s="354">
        <v>491</v>
      </c>
      <c r="C493" s="208" t="s">
        <v>20</v>
      </c>
      <c r="D493" s="237" t="s">
        <v>1397</v>
      </c>
      <c r="E493" s="208"/>
      <c r="F493" s="237" t="s">
        <v>1358</v>
      </c>
      <c r="G493" s="203"/>
      <c r="H493" s="203">
        <f t="shared" si="7"/>
        <v>491</v>
      </c>
      <c r="I493" s="208">
        <v>16100</v>
      </c>
      <c r="J493" s="208" t="s">
        <v>178</v>
      </c>
      <c r="K493" s="351"/>
      <c r="L493" s="351"/>
      <c r="M493" s="208"/>
      <c r="N493" s="208"/>
    </row>
    <row r="494" spans="1:14">
      <c r="A494" s="208"/>
      <c r="B494" s="354">
        <v>492</v>
      </c>
      <c r="C494" s="208"/>
      <c r="D494" s="208" t="s">
        <v>1485</v>
      </c>
      <c r="E494" s="208" t="s">
        <v>1486</v>
      </c>
      <c r="F494" s="208" t="s">
        <v>1487</v>
      </c>
      <c r="G494" s="203"/>
      <c r="H494" s="203">
        <f t="shared" si="7"/>
        <v>492</v>
      </c>
      <c r="I494" s="208">
        <v>17100</v>
      </c>
      <c r="J494" s="208" t="s">
        <v>33</v>
      </c>
      <c r="K494" s="351"/>
      <c r="L494" s="351"/>
      <c r="M494" s="208"/>
      <c r="N494" s="208"/>
    </row>
    <row r="495" spans="1:14">
      <c r="A495" s="208"/>
      <c r="B495" s="354">
        <v>493</v>
      </c>
      <c r="C495" s="208" t="s">
        <v>61</v>
      </c>
      <c r="D495" s="208" t="s">
        <v>1490</v>
      </c>
      <c r="E495" s="208"/>
      <c r="F495" s="208" t="s">
        <v>1491</v>
      </c>
      <c r="G495" s="203"/>
      <c r="H495" s="203">
        <f t="shared" si="7"/>
        <v>493</v>
      </c>
      <c r="I495" s="208">
        <v>17100</v>
      </c>
      <c r="J495" s="208" t="s">
        <v>357</v>
      </c>
      <c r="K495" s="351">
        <v>546930967</v>
      </c>
      <c r="L495" s="351">
        <v>647246569</v>
      </c>
      <c r="M495" s="208"/>
      <c r="N495" s="208"/>
    </row>
    <row r="496" spans="1:14">
      <c r="A496" s="208"/>
      <c r="B496" s="354">
        <v>494</v>
      </c>
      <c r="C496" s="208" t="s">
        <v>20</v>
      </c>
      <c r="D496" s="208" t="s">
        <v>338</v>
      </c>
      <c r="E496" s="208" t="s">
        <v>1492</v>
      </c>
      <c r="F496" s="208" t="s">
        <v>1493</v>
      </c>
      <c r="G496" s="203"/>
      <c r="H496" s="203">
        <f t="shared" si="7"/>
        <v>494</v>
      </c>
      <c r="I496" s="208">
        <v>17460</v>
      </c>
      <c r="J496" s="208" t="s">
        <v>1140</v>
      </c>
      <c r="K496" s="351"/>
      <c r="L496" s="351"/>
      <c r="M496" s="208"/>
      <c r="N496" s="208"/>
    </row>
    <row r="497" spans="1:14">
      <c r="A497" s="208"/>
      <c r="B497" s="354">
        <v>495</v>
      </c>
      <c r="C497" s="208" t="s">
        <v>20</v>
      </c>
      <c r="D497" s="208" t="s">
        <v>1494</v>
      </c>
      <c r="E497" s="208" t="s">
        <v>199</v>
      </c>
      <c r="F497" s="208" t="s">
        <v>1495</v>
      </c>
      <c r="G497" s="203"/>
      <c r="H497" s="203">
        <f t="shared" si="7"/>
        <v>495</v>
      </c>
      <c r="I497" s="208">
        <v>17100</v>
      </c>
      <c r="J497" s="208" t="s">
        <v>127</v>
      </c>
      <c r="K497" s="351">
        <v>686719793</v>
      </c>
      <c r="L497" s="351"/>
      <c r="M497" s="208"/>
      <c r="N497" s="208"/>
    </row>
    <row r="498" spans="1:14">
      <c r="A498" s="208"/>
      <c r="B498" s="354">
        <v>496</v>
      </c>
      <c r="C498" s="208" t="s">
        <v>61</v>
      </c>
      <c r="D498" s="208" t="s">
        <v>1503</v>
      </c>
      <c r="E498" s="208"/>
      <c r="F498" s="208" t="s">
        <v>1505</v>
      </c>
      <c r="G498" s="203"/>
      <c r="H498" s="203">
        <f t="shared" si="7"/>
        <v>496</v>
      </c>
      <c r="I498" s="208">
        <v>17100</v>
      </c>
      <c r="J498" s="208" t="s">
        <v>33</v>
      </c>
      <c r="K498" s="351" t="s">
        <v>1504</v>
      </c>
      <c r="L498" s="351"/>
      <c r="M498" s="208"/>
      <c r="N498" s="208"/>
    </row>
    <row r="499" spans="1:14">
      <c r="A499" s="208"/>
      <c r="B499" s="354">
        <v>497</v>
      </c>
      <c r="C499" s="208" t="s">
        <v>20</v>
      </c>
      <c r="D499" s="208" t="s">
        <v>1507</v>
      </c>
      <c r="E499" s="208"/>
      <c r="F499" s="208" t="s">
        <v>1508</v>
      </c>
      <c r="G499" s="203"/>
      <c r="H499" s="203">
        <f t="shared" si="7"/>
        <v>497</v>
      </c>
      <c r="I499" s="208">
        <v>17610</v>
      </c>
      <c r="J499" s="208" t="s">
        <v>52</v>
      </c>
      <c r="K499" s="351" t="s">
        <v>1700</v>
      </c>
      <c r="L499" s="351"/>
      <c r="M499" s="208"/>
      <c r="N499" s="208"/>
    </row>
    <row r="500" spans="1:14">
      <c r="A500" s="208"/>
      <c r="B500" s="354">
        <v>498</v>
      </c>
      <c r="C500" s="208" t="s">
        <v>20</v>
      </c>
      <c r="D500" s="208" t="s">
        <v>1509</v>
      </c>
      <c r="E500" s="208" t="s">
        <v>1510</v>
      </c>
      <c r="F500" s="208"/>
      <c r="G500" s="203"/>
      <c r="H500" s="203">
        <f t="shared" si="7"/>
        <v>498</v>
      </c>
      <c r="I500" s="208"/>
      <c r="J500" s="208"/>
      <c r="K500" s="351"/>
      <c r="L500" s="351"/>
      <c r="M500" s="208"/>
      <c r="N500" s="208"/>
    </row>
    <row r="501" spans="1:14">
      <c r="A501" s="208"/>
      <c r="B501" s="354">
        <v>499</v>
      </c>
      <c r="C501" s="208" t="s">
        <v>61</v>
      </c>
      <c r="D501" s="208" t="s">
        <v>1511</v>
      </c>
      <c r="E501" s="208" t="s">
        <v>1512</v>
      </c>
      <c r="F501" s="208" t="s">
        <v>1513</v>
      </c>
      <c r="G501" s="203"/>
      <c r="H501" s="203">
        <f t="shared" si="7"/>
        <v>499</v>
      </c>
      <c r="I501" s="208">
        <v>17770</v>
      </c>
      <c r="J501" s="208" t="s">
        <v>1514</v>
      </c>
      <c r="K501" s="351">
        <v>984025225</v>
      </c>
      <c r="L501" s="351"/>
      <c r="M501" s="208"/>
      <c r="N501" s="208"/>
    </row>
    <row r="502" spans="1:14">
      <c r="A502" s="208"/>
      <c r="B502" s="354">
        <v>500</v>
      </c>
      <c r="C502" s="208" t="s">
        <v>20</v>
      </c>
      <c r="D502" s="208" t="s">
        <v>1515</v>
      </c>
      <c r="E502" s="208"/>
      <c r="F502" s="208" t="s">
        <v>1516</v>
      </c>
      <c r="G502" s="203"/>
      <c r="H502" s="203">
        <f t="shared" si="7"/>
        <v>500</v>
      </c>
      <c r="I502" s="208">
        <v>17600</v>
      </c>
      <c r="J502" s="208" t="s">
        <v>603</v>
      </c>
      <c r="K502" s="351"/>
      <c r="L502" s="351"/>
      <c r="M502" s="208"/>
      <c r="N502" s="208"/>
    </row>
    <row r="503" spans="1:14">
      <c r="A503" s="208"/>
      <c r="B503" s="354">
        <v>501</v>
      </c>
      <c r="C503" s="208" t="s">
        <v>20</v>
      </c>
      <c r="D503" s="208" t="s">
        <v>1518</v>
      </c>
      <c r="E503" s="208"/>
      <c r="F503" s="208"/>
      <c r="G503" s="203"/>
      <c r="H503" s="203">
        <f t="shared" si="7"/>
        <v>501</v>
      </c>
      <c r="I503" s="208">
        <v>17600</v>
      </c>
      <c r="J503" s="208" t="s">
        <v>603</v>
      </c>
      <c r="K503" s="351"/>
      <c r="L503" s="351"/>
      <c r="M503" s="208"/>
      <c r="N503" s="208"/>
    </row>
    <row r="504" spans="1:14">
      <c r="A504" s="208"/>
      <c r="B504" s="354">
        <v>502</v>
      </c>
      <c r="C504" s="208" t="s">
        <v>1522</v>
      </c>
      <c r="D504" s="208" t="s">
        <v>1523</v>
      </c>
      <c r="E504" s="208"/>
      <c r="F504" s="208" t="s">
        <v>1524</v>
      </c>
      <c r="G504" s="203"/>
      <c r="H504" s="203">
        <f t="shared" si="7"/>
        <v>502</v>
      </c>
      <c r="I504" s="208">
        <v>87600</v>
      </c>
      <c r="J504" s="208" t="s">
        <v>1525</v>
      </c>
      <c r="K504" s="351">
        <v>672805967</v>
      </c>
      <c r="L504" s="351"/>
      <c r="M504" s="208"/>
      <c r="N504" s="208"/>
    </row>
    <row r="505" spans="1:14">
      <c r="A505" s="208"/>
      <c r="B505" s="354">
        <v>503</v>
      </c>
      <c r="C505" s="208" t="s">
        <v>20</v>
      </c>
      <c r="D505" s="208" t="s">
        <v>1530</v>
      </c>
      <c r="E505" s="208" t="s">
        <v>1529</v>
      </c>
      <c r="F505" s="208" t="s">
        <v>1531</v>
      </c>
      <c r="G505" s="203"/>
      <c r="H505" s="203">
        <f t="shared" si="7"/>
        <v>503</v>
      </c>
      <c r="I505" s="208">
        <v>17770</v>
      </c>
      <c r="J505" s="208" t="s">
        <v>684</v>
      </c>
      <c r="K505" s="351"/>
      <c r="L505" s="351"/>
      <c r="M505" s="208"/>
      <c r="N505" s="208"/>
    </row>
    <row r="506" spans="1:14">
      <c r="A506" s="208"/>
      <c r="B506" s="354">
        <v>504</v>
      </c>
      <c r="C506" s="208" t="s">
        <v>20</v>
      </c>
      <c r="D506" s="208" t="s">
        <v>1532</v>
      </c>
      <c r="E506" s="208" t="s">
        <v>199</v>
      </c>
      <c r="F506" s="208" t="s">
        <v>1533</v>
      </c>
      <c r="G506" s="203"/>
      <c r="H506" s="203">
        <f t="shared" si="7"/>
        <v>504</v>
      </c>
      <c r="I506" s="208">
        <v>17100</v>
      </c>
      <c r="J506" s="208" t="s">
        <v>1534</v>
      </c>
      <c r="K506" s="351"/>
      <c r="L506" s="351"/>
      <c r="M506" s="208"/>
      <c r="N506" s="208"/>
    </row>
    <row r="507" spans="1:14">
      <c r="A507" s="208"/>
      <c r="B507" s="354">
        <v>505</v>
      </c>
      <c r="C507" s="208" t="s">
        <v>20</v>
      </c>
      <c r="D507" s="208" t="s">
        <v>1535</v>
      </c>
      <c r="E507" s="208" t="s">
        <v>1536</v>
      </c>
      <c r="F507" s="208" t="s">
        <v>1537</v>
      </c>
      <c r="G507" s="203"/>
      <c r="H507" s="203">
        <f t="shared" si="7"/>
        <v>505</v>
      </c>
      <c r="I507" s="208">
        <v>17100</v>
      </c>
      <c r="J507" s="208" t="s">
        <v>52</v>
      </c>
      <c r="K507" s="351">
        <v>650751727</v>
      </c>
      <c r="L507" s="351"/>
      <c r="M507" s="208"/>
      <c r="N507" s="208"/>
    </row>
    <row r="508" spans="1:14">
      <c r="A508" s="208"/>
      <c r="B508" s="354">
        <v>506</v>
      </c>
      <c r="C508" s="208" t="s">
        <v>20</v>
      </c>
      <c r="D508" s="208" t="s">
        <v>1538</v>
      </c>
      <c r="E508" s="208" t="s">
        <v>1539</v>
      </c>
      <c r="F508" s="208" t="s">
        <v>1540</v>
      </c>
      <c r="G508" s="203"/>
      <c r="H508" s="203">
        <f t="shared" si="7"/>
        <v>506</v>
      </c>
      <c r="I508" s="208">
        <v>17100</v>
      </c>
      <c r="J508" s="208" t="s">
        <v>33</v>
      </c>
      <c r="K508" s="351"/>
      <c r="L508" s="351"/>
      <c r="M508" s="208"/>
      <c r="N508" s="208"/>
    </row>
    <row r="509" spans="1:14">
      <c r="A509" s="208"/>
      <c r="B509" s="354">
        <v>507</v>
      </c>
      <c r="C509" s="208" t="s">
        <v>20</v>
      </c>
      <c r="D509" s="208" t="s">
        <v>1545</v>
      </c>
      <c r="E509" s="208" t="s">
        <v>260</v>
      </c>
      <c r="F509" s="208" t="s">
        <v>1546</v>
      </c>
      <c r="G509" s="237" t="s">
        <v>1725</v>
      </c>
      <c r="H509" s="203">
        <f t="shared" si="7"/>
        <v>507</v>
      </c>
      <c r="I509" s="208">
        <v>17610</v>
      </c>
      <c r="J509" s="208" t="s">
        <v>52</v>
      </c>
      <c r="K509" s="351"/>
      <c r="L509" s="351"/>
      <c r="M509" s="208"/>
      <c r="N509" s="208"/>
    </row>
    <row r="510" spans="1:14">
      <c r="A510" s="208"/>
      <c r="B510" s="354">
        <v>508</v>
      </c>
      <c r="C510" s="208" t="s">
        <v>658</v>
      </c>
      <c r="D510" s="208" t="s">
        <v>1547</v>
      </c>
      <c r="E510" s="208" t="s">
        <v>1548</v>
      </c>
      <c r="F510" s="208"/>
      <c r="G510" s="203"/>
      <c r="H510" s="203">
        <f t="shared" si="7"/>
        <v>508</v>
      </c>
      <c r="I510" s="208">
        <v>17100</v>
      </c>
      <c r="J510" s="208" t="s">
        <v>33</v>
      </c>
      <c r="K510" s="351"/>
      <c r="L510" s="351"/>
      <c r="M510" s="208"/>
      <c r="N510" s="208"/>
    </row>
    <row r="511" spans="1:14">
      <c r="A511" s="208"/>
      <c r="B511" s="354">
        <v>509</v>
      </c>
      <c r="C511" s="208" t="s">
        <v>20</v>
      </c>
      <c r="D511" s="208" t="s">
        <v>1549</v>
      </c>
      <c r="E511" s="208" t="s">
        <v>226</v>
      </c>
      <c r="F511" s="208" t="s">
        <v>1550</v>
      </c>
      <c r="G511" s="203"/>
      <c r="H511" s="203">
        <f t="shared" si="7"/>
        <v>509</v>
      </c>
      <c r="I511" s="208">
        <v>17610</v>
      </c>
      <c r="J511" s="208" t="s">
        <v>379</v>
      </c>
      <c r="K511" s="351" t="s">
        <v>1710</v>
      </c>
      <c r="L511" s="351">
        <v>130216361</v>
      </c>
      <c r="M511" s="208"/>
      <c r="N511" s="208"/>
    </row>
    <row r="512" spans="1:14">
      <c r="A512" s="208"/>
      <c r="B512" s="354">
        <v>510</v>
      </c>
      <c r="C512" s="208" t="s">
        <v>20</v>
      </c>
      <c r="D512" s="208" t="s">
        <v>1551</v>
      </c>
      <c r="E512" s="208" t="s">
        <v>1512</v>
      </c>
      <c r="F512" s="208" t="s">
        <v>1552</v>
      </c>
      <c r="G512" s="203"/>
      <c r="H512" s="203">
        <f t="shared" si="7"/>
        <v>510</v>
      </c>
      <c r="I512" s="208">
        <v>17100</v>
      </c>
      <c r="J512" s="208" t="s">
        <v>1553</v>
      </c>
      <c r="K512" s="351"/>
      <c r="L512" s="351"/>
      <c r="M512" s="208"/>
      <c r="N512" s="208"/>
    </row>
    <row r="513" spans="1:14">
      <c r="A513" s="208"/>
      <c r="B513" s="354">
        <v>511</v>
      </c>
      <c r="C513" s="208" t="s">
        <v>61</v>
      </c>
      <c r="D513" s="208" t="s">
        <v>1729</v>
      </c>
      <c r="E513" s="208" t="s">
        <v>70</v>
      </c>
      <c r="F513" s="208" t="s">
        <v>1730</v>
      </c>
      <c r="G513" s="203"/>
      <c r="H513" s="203">
        <f t="shared" si="7"/>
        <v>511</v>
      </c>
      <c r="I513" s="208">
        <v>17100</v>
      </c>
      <c r="J513" s="208" t="s">
        <v>705</v>
      </c>
      <c r="K513" s="351">
        <v>546971052</v>
      </c>
      <c r="L513" s="351"/>
      <c r="M513" s="208"/>
      <c r="N513" s="208"/>
    </row>
    <row r="514" spans="1:14">
      <c r="A514" s="208"/>
      <c r="B514" s="354">
        <v>512</v>
      </c>
      <c r="C514" s="208" t="s">
        <v>20</v>
      </c>
      <c r="D514" s="208" t="s">
        <v>1731</v>
      </c>
      <c r="E514" s="208" t="s">
        <v>1512</v>
      </c>
      <c r="F514" s="208" t="s">
        <v>1732</v>
      </c>
      <c r="G514" s="203"/>
      <c r="H514" s="203">
        <f t="shared" si="7"/>
        <v>512</v>
      </c>
      <c r="I514" s="208">
        <v>17610</v>
      </c>
      <c r="J514" s="208" t="s">
        <v>52</v>
      </c>
      <c r="K514" s="351"/>
      <c r="L514" s="351"/>
      <c r="M514" s="208"/>
      <c r="N514" s="357" t="s">
        <v>1733</v>
      </c>
    </row>
    <row r="515" spans="1:14">
      <c r="A515" s="208"/>
      <c r="B515" s="354">
        <v>513</v>
      </c>
      <c r="C515" s="208"/>
      <c r="D515" s="208"/>
      <c r="E515" s="208"/>
      <c r="F515" s="208"/>
      <c r="G515" s="203"/>
      <c r="H515" s="203">
        <f t="shared" si="7"/>
        <v>513</v>
      </c>
      <c r="I515" s="208"/>
      <c r="J515" s="208"/>
      <c r="K515" s="351"/>
      <c r="L515" s="351"/>
      <c r="M515" s="208"/>
      <c r="N515" s="208"/>
    </row>
    <row r="516" spans="1:14">
      <c r="A516" s="208"/>
      <c r="B516" s="354">
        <v>514</v>
      </c>
      <c r="C516" s="208"/>
      <c r="D516" s="208"/>
      <c r="E516" s="208"/>
      <c r="F516" s="208"/>
      <c r="G516" s="203"/>
      <c r="H516" s="203">
        <f t="shared" ref="H516:H579" si="8">B516</f>
        <v>514</v>
      </c>
      <c r="I516" s="208"/>
      <c r="J516" s="208"/>
      <c r="K516" s="351"/>
      <c r="L516" s="351"/>
      <c r="M516" s="208"/>
      <c r="N516" s="208"/>
    </row>
    <row r="517" spans="1:14">
      <c r="A517" s="208"/>
      <c r="B517" s="354">
        <v>515</v>
      </c>
      <c r="C517" s="208"/>
      <c r="D517" s="208"/>
      <c r="E517" s="208"/>
      <c r="F517" s="208"/>
      <c r="G517" s="203"/>
      <c r="H517" s="203">
        <f t="shared" si="8"/>
        <v>515</v>
      </c>
      <c r="I517" s="208"/>
      <c r="J517" s="208"/>
      <c r="K517" s="351"/>
      <c r="L517" s="351"/>
      <c r="M517" s="208"/>
      <c r="N517" s="208"/>
    </row>
    <row r="518" spans="1:14">
      <c r="A518" s="208"/>
      <c r="B518" s="354">
        <v>516</v>
      </c>
      <c r="C518" s="208"/>
      <c r="D518" s="208"/>
      <c r="E518" s="208"/>
      <c r="F518" s="208"/>
      <c r="G518" s="203"/>
      <c r="H518" s="203">
        <f t="shared" si="8"/>
        <v>516</v>
      </c>
      <c r="I518" s="208"/>
      <c r="J518" s="208"/>
      <c r="K518" s="351"/>
      <c r="L518" s="351"/>
      <c r="M518" s="208"/>
      <c r="N518" s="208"/>
    </row>
    <row r="519" spans="1:14">
      <c r="A519" s="208"/>
      <c r="B519" s="354">
        <v>517</v>
      </c>
      <c r="C519" s="208"/>
      <c r="D519" s="208"/>
      <c r="E519" s="208"/>
      <c r="F519" s="208"/>
      <c r="G519" s="203"/>
      <c r="H519" s="203">
        <f t="shared" si="8"/>
        <v>517</v>
      </c>
      <c r="I519" s="208"/>
      <c r="J519" s="208"/>
      <c r="K519" s="351"/>
      <c r="L519" s="351"/>
      <c r="M519" s="208"/>
      <c r="N519" s="208"/>
    </row>
    <row r="520" spans="1:14">
      <c r="A520" s="208"/>
      <c r="B520" s="354">
        <v>518</v>
      </c>
      <c r="C520" s="208"/>
      <c r="D520" s="208"/>
      <c r="E520" s="208"/>
      <c r="F520" s="208"/>
      <c r="G520" s="203"/>
      <c r="H520" s="203">
        <f t="shared" si="8"/>
        <v>518</v>
      </c>
      <c r="I520" s="208"/>
      <c r="J520" s="208"/>
      <c r="K520" s="351"/>
      <c r="L520" s="351"/>
      <c r="M520" s="208"/>
      <c r="N520" s="208"/>
    </row>
    <row r="521" spans="1:14">
      <c r="A521" s="208"/>
      <c r="B521" s="354">
        <v>519</v>
      </c>
      <c r="C521" s="208"/>
      <c r="D521" s="208"/>
      <c r="E521" s="208"/>
      <c r="F521" s="208"/>
      <c r="G521" s="203"/>
      <c r="H521" s="203">
        <f t="shared" si="8"/>
        <v>519</v>
      </c>
      <c r="I521" s="208"/>
      <c r="J521" s="208"/>
      <c r="K521" s="351"/>
      <c r="L521" s="351"/>
      <c r="M521" s="208"/>
      <c r="N521" s="208"/>
    </row>
    <row r="522" spans="1:14">
      <c r="A522" s="208"/>
      <c r="B522" s="354">
        <v>520</v>
      </c>
      <c r="C522" s="208"/>
      <c r="D522" s="208"/>
      <c r="E522" s="208"/>
      <c r="F522" s="208"/>
      <c r="G522" s="203"/>
      <c r="H522" s="203">
        <f t="shared" si="8"/>
        <v>520</v>
      </c>
      <c r="I522" s="208"/>
      <c r="J522" s="208"/>
      <c r="K522" s="351"/>
      <c r="L522" s="351"/>
      <c r="M522" s="208"/>
      <c r="N522" s="208"/>
    </row>
    <row r="523" spans="1:14">
      <c r="A523" s="208"/>
      <c r="B523" s="354">
        <v>521</v>
      </c>
      <c r="C523" s="208"/>
      <c r="D523" s="208"/>
      <c r="E523" s="208"/>
      <c r="F523" s="208"/>
      <c r="G523" s="203"/>
      <c r="H523" s="203">
        <f t="shared" si="8"/>
        <v>521</v>
      </c>
      <c r="I523" s="208"/>
      <c r="J523" s="208"/>
      <c r="K523" s="351"/>
      <c r="L523" s="351"/>
      <c r="M523" s="208"/>
      <c r="N523" s="208"/>
    </row>
    <row r="524" spans="1:14">
      <c r="A524" s="208"/>
      <c r="B524" s="354">
        <v>522</v>
      </c>
      <c r="C524" s="208"/>
      <c r="D524" s="208"/>
      <c r="E524" s="208"/>
      <c r="F524" s="208"/>
      <c r="G524" s="203"/>
      <c r="H524" s="203">
        <f t="shared" si="8"/>
        <v>522</v>
      </c>
      <c r="I524" s="208"/>
      <c r="J524" s="208"/>
      <c r="K524" s="351"/>
      <c r="L524" s="351"/>
      <c r="M524" s="208"/>
      <c r="N524" s="208"/>
    </row>
    <row r="525" spans="1:14">
      <c r="A525" s="208"/>
      <c r="B525" s="354">
        <v>523</v>
      </c>
      <c r="C525" s="208"/>
      <c r="D525" s="208"/>
      <c r="E525" s="208"/>
      <c r="F525" s="208"/>
      <c r="G525" s="203"/>
      <c r="H525" s="203">
        <f t="shared" si="8"/>
        <v>523</v>
      </c>
      <c r="I525" s="208"/>
      <c r="J525" s="208"/>
      <c r="K525" s="351"/>
      <c r="L525" s="351"/>
      <c r="M525" s="208"/>
      <c r="N525" s="208"/>
    </row>
    <row r="526" spans="1:14">
      <c r="A526" s="208"/>
      <c r="B526" s="354">
        <v>524</v>
      </c>
      <c r="C526" s="208"/>
      <c r="D526" s="208"/>
      <c r="E526" s="208"/>
      <c r="F526" s="208"/>
      <c r="G526" s="203"/>
      <c r="H526" s="203">
        <f t="shared" si="8"/>
        <v>524</v>
      </c>
      <c r="I526" s="208"/>
      <c r="J526" s="208"/>
      <c r="K526" s="351"/>
      <c r="L526" s="351"/>
      <c r="M526" s="208"/>
      <c r="N526" s="208"/>
    </row>
    <row r="527" spans="1:14">
      <c r="A527" s="208"/>
      <c r="B527" s="354">
        <v>525</v>
      </c>
      <c r="C527" s="208"/>
      <c r="D527" s="208"/>
      <c r="E527" s="208"/>
      <c r="F527" s="208" t="s">
        <v>351</v>
      </c>
      <c r="G527" s="203"/>
      <c r="H527" s="203">
        <f t="shared" si="8"/>
        <v>525</v>
      </c>
      <c r="I527" s="208"/>
      <c r="J527" s="208"/>
      <c r="K527" s="351"/>
      <c r="L527" s="351"/>
      <c r="M527" s="208"/>
      <c r="N527" s="208"/>
    </row>
    <row r="528" spans="1:14">
      <c r="A528" s="208"/>
      <c r="B528" s="354">
        <v>526</v>
      </c>
      <c r="C528" s="208"/>
      <c r="D528" s="208"/>
      <c r="E528" s="208"/>
      <c r="F528" s="208"/>
      <c r="G528" s="203"/>
      <c r="H528" s="203">
        <f t="shared" si="8"/>
        <v>526</v>
      </c>
      <c r="I528" s="208"/>
      <c r="J528" s="208"/>
      <c r="K528" s="351"/>
      <c r="L528" s="351"/>
      <c r="M528" s="208"/>
      <c r="N528" s="208"/>
    </row>
    <row r="529" spans="1:14">
      <c r="A529" s="208"/>
      <c r="B529" s="354">
        <v>527</v>
      </c>
      <c r="C529" s="208"/>
      <c r="D529" s="208"/>
      <c r="E529" s="208"/>
      <c r="F529" s="208"/>
      <c r="G529" s="203"/>
      <c r="H529" s="203">
        <f t="shared" si="8"/>
        <v>527</v>
      </c>
      <c r="I529" s="208"/>
      <c r="J529" s="208"/>
      <c r="K529" s="351"/>
      <c r="L529" s="351"/>
      <c r="M529" s="208"/>
      <c r="N529" s="208"/>
    </row>
    <row r="530" spans="1:14">
      <c r="A530" s="208"/>
      <c r="B530" s="354">
        <v>528</v>
      </c>
      <c r="C530" s="208"/>
      <c r="D530" s="208"/>
      <c r="E530" s="208"/>
      <c r="F530" s="208"/>
      <c r="G530" s="203"/>
      <c r="H530" s="203">
        <f t="shared" si="8"/>
        <v>528</v>
      </c>
      <c r="I530" s="208"/>
      <c r="J530" s="208"/>
      <c r="K530" s="351"/>
      <c r="L530" s="351"/>
      <c r="M530" s="208"/>
      <c r="N530" s="208"/>
    </row>
    <row r="531" spans="1:14">
      <c r="A531" s="208"/>
      <c r="B531" s="354">
        <v>529</v>
      </c>
      <c r="C531" s="208"/>
      <c r="D531" s="208"/>
      <c r="E531" s="208"/>
      <c r="F531" s="208"/>
      <c r="G531" s="203"/>
      <c r="H531" s="203">
        <f t="shared" si="8"/>
        <v>529</v>
      </c>
      <c r="I531" s="208"/>
      <c r="J531" s="208"/>
      <c r="K531" s="351"/>
      <c r="L531" s="351"/>
      <c r="M531" s="208"/>
      <c r="N531" s="208"/>
    </row>
    <row r="532" spans="1:14">
      <c r="A532" s="208"/>
      <c r="B532" s="354">
        <v>530</v>
      </c>
      <c r="C532" s="208"/>
      <c r="D532" s="208"/>
      <c r="E532" s="208"/>
      <c r="F532" s="208"/>
      <c r="G532" s="203"/>
      <c r="H532" s="203">
        <f t="shared" si="8"/>
        <v>530</v>
      </c>
      <c r="I532" s="208"/>
      <c r="J532" s="208"/>
      <c r="K532" s="351"/>
      <c r="L532" s="351"/>
      <c r="M532" s="208"/>
      <c r="N532" s="208"/>
    </row>
    <row r="533" spans="1:14">
      <c r="A533" s="208"/>
      <c r="B533" s="354">
        <v>531</v>
      </c>
      <c r="C533" s="208"/>
      <c r="D533" s="208"/>
      <c r="E533" s="208"/>
      <c r="F533" s="208"/>
      <c r="G533" s="203"/>
      <c r="H533" s="203">
        <f t="shared" si="8"/>
        <v>531</v>
      </c>
      <c r="I533" s="208"/>
      <c r="J533" s="208"/>
      <c r="K533" s="351"/>
      <c r="L533" s="351"/>
      <c r="M533" s="208"/>
      <c r="N533" s="208"/>
    </row>
    <row r="534" spans="1:14">
      <c r="A534" s="208"/>
      <c r="B534" s="354">
        <v>532</v>
      </c>
      <c r="C534" s="208"/>
      <c r="D534" s="208"/>
      <c r="E534" s="208"/>
      <c r="F534" s="208"/>
      <c r="G534" s="203"/>
      <c r="H534" s="203">
        <f t="shared" si="8"/>
        <v>532</v>
      </c>
      <c r="I534" s="208"/>
      <c r="J534" s="208"/>
      <c r="K534" s="351"/>
      <c r="L534" s="351"/>
      <c r="M534" s="208"/>
      <c r="N534" s="208"/>
    </row>
    <row r="535" spans="1:14">
      <c r="A535" s="208"/>
      <c r="B535" s="354">
        <v>533</v>
      </c>
      <c r="C535" s="208"/>
      <c r="D535" s="208"/>
      <c r="E535" s="208"/>
      <c r="F535" s="208"/>
      <c r="G535" s="203"/>
      <c r="H535" s="203">
        <f t="shared" si="8"/>
        <v>533</v>
      </c>
      <c r="I535" s="208"/>
      <c r="J535" s="208"/>
      <c r="K535" s="351"/>
      <c r="L535" s="351"/>
      <c r="M535" s="208"/>
      <c r="N535" s="208"/>
    </row>
    <row r="536" spans="1:14">
      <c r="A536" s="208"/>
      <c r="B536" s="354">
        <v>534</v>
      </c>
      <c r="C536" s="208"/>
      <c r="D536" s="208"/>
      <c r="E536" s="208"/>
      <c r="F536" s="208"/>
      <c r="G536" s="203"/>
      <c r="H536" s="203">
        <f t="shared" si="8"/>
        <v>534</v>
      </c>
      <c r="I536" s="208"/>
      <c r="J536" s="208"/>
      <c r="K536" s="351"/>
      <c r="L536" s="351"/>
      <c r="M536" s="208"/>
      <c r="N536" s="208"/>
    </row>
    <row r="537" spans="1:14">
      <c r="A537" s="208"/>
      <c r="B537" s="354">
        <v>535</v>
      </c>
      <c r="C537" s="208"/>
      <c r="D537" s="208"/>
      <c r="E537" s="208"/>
      <c r="F537" s="208"/>
      <c r="G537" s="203"/>
      <c r="H537" s="203">
        <f t="shared" si="8"/>
        <v>535</v>
      </c>
      <c r="I537" s="208"/>
      <c r="J537" s="208"/>
      <c r="K537" s="351"/>
      <c r="L537" s="351"/>
      <c r="M537" s="208"/>
      <c r="N537" s="208"/>
    </row>
    <row r="538" spans="1:14">
      <c r="A538" s="208"/>
      <c r="B538" s="354">
        <v>536</v>
      </c>
      <c r="C538" s="208"/>
      <c r="D538" s="208"/>
      <c r="E538" s="208"/>
      <c r="F538" s="208"/>
      <c r="G538" s="203"/>
      <c r="H538" s="203">
        <f t="shared" si="8"/>
        <v>536</v>
      </c>
      <c r="I538" s="208"/>
      <c r="J538" s="208"/>
      <c r="K538" s="351"/>
      <c r="L538" s="351"/>
      <c r="M538" s="208"/>
      <c r="N538" s="208"/>
    </row>
    <row r="539" spans="1:14">
      <c r="A539" s="208"/>
      <c r="B539" s="354">
        <v>537</v>
      </c>
      <c r="C539" s="208"/>
      <c r="D539" s="208"/>
      <c r="E539" s="208"/>
      <c r="F539" s="208"/>
      <c r="G539" s="203"/>
      <c r="H539" s="203">
        <f t="shared" si="8"/>
        <v>537</v>
      </c>
      <c r="I539" s="208"/>
      <c r="J539" s="208"/>
      <c r="K539" s="351"/>
      <c r="L539" s="351"/>
      <c r="M539" s="208"/>
      <c r="N539" s="208"/>
    </row>
    <row r="540" spans="1:14">
      <c r="A540" s="208"/>
      <c r="B540" s="354">
        <v>538</v>
      </c>
      <c r="C540" s="208"/>
      <c r="D540" s="208"/>
      <c r="E540" s="208"/>
      <c r="F540" s="208"/>
      <c r="G540" s="203"/>
      <c r="H540" s="203">
        <f t="shared" si="8"/>
        <v>538</v>
      </c>
      <c r="I540" s="208"/>
      <c r="J540" s="208"/>
      <c r="K540" s="351"/>
      <c r="L540" s="351"/>
      <c r="M540" s="208"/>
      <c r="N540" s="208"/>
    </row>
    <row r="541" spans="1:14">
      <c r="A541" s="208"/>
      <c r="B541" s="354">
        <v>539</v>
      </c>
      <c r="C541" s="208"/>
      <c r="D541" s="208"/>
      <c r="E541" s="208"/>
      <c r="F541" s="208"/>
      <c r="G541" s="203"/>
      <c r="H541" s="203">
        <f t="shared" si="8"/>
        <v>539</v>
      </c>
      <c r="I541" s="208"/>
      <c r="J541" s="208"/>
      <c r="K541" s="351"/>
      <c r="L541" s="351"/>
      <c r="M541" s="208"/>
      <c r="N541" s="208"/>
    </row>
    <row r="542" spans="1:14">
      <c r="A542" s="208"/>
      <c r="B542" s="354">
        <v>540</v>
      </c>
      <c r="C542" s="208"/>
      <c r="D542" s="208"/>
      <c r="E542" s="208"/>
      <c r="F542" s="208"/>
      <c r="G542" s="203"/>
      <c r="H542" s="203">
        <f t="shared" si="8"/>
        <v>540</v>
      </c>
      <c r="I542" s="208"/>
      <c r="J542" s="208"/>
      <c r="K542" s="351"/>
      <c r="L542" s="351"/>
      <c r="M542" s="208"/>
      <c r="N542" s="208"/>
    </row>
    <row r="543" spans="1:14">
      <c r="A543" s="208"/>
      <c r="B543" s="354">
        <v>541</v>
      </c>
      <c r="C543" s="208"/>
      <c r="D543" s="208"/>
      <c r="E543" s="208"/>
      <c r="F543" s="208"/>
      <c r="G543" s="203"/>
      <c r="H543" s="203">
        <f t="shared" si="8"/>
        <v>541</v>
      </c>
      <c r="I543" s="208"/>
      <c r="J543" s="208"/>
      <c r="K543" s="351"/>
      <c r="L543" s="351"/>
      <c r="M543" s="208"/>
      <c r="N543" s="208"/>
    </row>
    <row r="544" spans="1:14">
      <c r="A544" s="208"/>
      <c r="B544" s="354">
        <v>542</v>
      </c>
      <c r="C544" s="208"/>
      <c r="D544" s="208"/>
      <c r="E544" s="208"/>
      <c r="F544" s="208"/>
      <c r="G544" s="203"/>
      <c r="H544" s="203">
        <f t="shared" si="8"/>
        <v>542</v>
      </c>
      <c r="I544" s="208"/>
      <c r="J544" s="208"/>
      <c r="K544" s="351"/>
      <c r="L544" s="351"/>
      <c r="M544" s="208"/>
      <c r="N544" s="208"/>
    </row>
    <row r="545" spans="1:14">
      <c r="A545" s="208"/>
      <c r="B545" s="354">
        <v>543</v>
      </c>
      <c r="C545" s="208"/>
      <c r="D545" s="208"/>
      <c r="E545" s="208"/>
      <c r="F545" s="208"/>
      <c r="G545" s="203"/>
      <c r="H545" s="203">
        <f t="shared" si="8"/>
        <v>543</v>
      </c>
      <c r="I545" s="208"/>
      <c r="J545" s="208"/>
      <c r="K545" s="351"/>
      <c r="L545" s="351"/>
      <c r="M545" s="208"/>
      <c r="N545" s="208"/>
    </row>
    <row r="546" spans="1:14">
      <c r="A546" s="208"/>
      <c r="B546" s="354">
        <v>544</v>
      </c>
      <c r="C546" s="208"/>
      <c r="D546" s="208"/>
      <c r="E546" s="208"/>
      <c r="F546" s="208"/>
      <c r="G546" s="203"/>
      <c r="H546" s="203">
        <f t="shared" si="8"/>
        <v>544</v>
      </c>
      <c r="I546" s="208"/>
      <c r="J546" s="208"/>
      <c r="K546" s="351"/>
      <c r="L546" s="351"/>
      <c r="M546" s="208"/>
      <c r="N546" s="208"/>
    </row>
    <row r="547" spans="1:14">
      <c r="A547" s="208"/>
      <c r="B547" s="354">
        <v>545</v>
      </c>
      <c r="C547" s="208"/>
      <c r="D547" s="208"/>
      <c r="E547" s="208"/>
      <c r="F547" s="208"/>
      <c r="G547" s="203"/>
      <c r="H547" s="203">
        <f t="shared" si="8"/>
        <v>545</v>
      </c>
      <c r="I547" s="208"/>
      <c r="J547" s="208"/>
      <c r="K547" s="351"/>
      <c r="L547" s="351"/>
      <c r="M547" s="208"/>
      <c r="N547" s="208"/>
    </row>
    <row r="548" spans="1:14">
      <c r="A548" s="208"/>
      <c r="B548" s="354">
        <v>546</v>
      </c>
      <c r="C548" s="208"/>
      <c r="D548" s="208"/>
      <c r="E548" s="208"/>
      <c r="F548" s="208"/>
      <c r="G548" s="203"/>
      <c r="H548" s="203">
        <f t="shared" si="8"/>
        <v>546</v>
      </c>
      <c r="I548" s="208"/>
      <c r="J548" s="208"/>
      <c r="K548" s="351"/>
      <c r="L548" s="351"/>
      <c r="M548" s="208"/>
      <c r="N548" s="208"/>
    </row>
    <row r="549" spans="1:14">
      <c r="A549" s="208"/>
      <c r="B549" s="354">
        <v>547</v>
      </c>
      <c r="C549" s="208"/>
      <c r="D549" s="208"/>
      <c r="E549" s="208"/>
      <c r="F549" s="208"/>
      <c r="G549" s="203"/>
      <c r="H549" s="203">
        <f t="shared" si="8"/>
        <v>547</v>
      </c>
      <c r="I549" s="208"/>
      <c r="J549" s="208"/>
      <c r="K549" s="351"/>
      <c r="L549" s="351"/>
      <c r="M549" s="208"/>
      <c r="N549" s="208"/>
    </row>
    <row r="550" spans="1:14">
      <c r="A550" s="208"/>
      <c r="B550" s="354">
        <v>548</v>
      </c>
      <c r="C550" s="208"/>
      <c r="D550" s="208"/>
      <c r="E550" s="208"/>
      <c r="F550" s="208"/>
      <c r="G550" s="203"/>
      <c r="H550" s="203">
        <f t="shared" si="8"/>
        <v>548</v>
      </c>
      <c r="I550" s="208"/>
      <c r="J550" s="208"/>
      <c r="K550" s="351"/>
      <c r="L550" s="351"/>
      <c r="M550" s="208"/>
      <c r="N550" s="208"/>
    </row>
    <row r="551" spans="1:14">
      <c r="A551" s="208"/>
      <c r="B551" s="354">
        <v>549</v>
      </c>
      <c r="C551" s="208"/>
      <c r="D551" s="208"/>
      <c r="E551" s="208"/>
      <c r="F551" s="208"/>
      <c r="G551" s="203"/>
      <c r="H551" s="203">
        <f t="shared" si="8"/>
        <v>549</v>
      </c>
      <c r="I551" s="208"/>
      <c r="J551" s="208"/>
      <c r="K551" s="351"/>
      <c r="L551" s="351"/>
      <c r="M551" s="208"/>
      <c r="N551" s="208"/>
    </row>
    <row r="552" spans="1:14">
      <c r="A552" s="208"/>
      <c r="B552" s="354">
        <v>550</v>
      </c>
      <c r="C552" s="208"/>
      <c r="D552" s="208"/>
      <c r="E552" s="208"/>
      <c r="F552" s="208"/>
      <c r="G552" s="203"/>
      <c r="H552" s="203">
        <f t="shared" si="8"/>
        <v>550</v>
      </c>
      <c r="I552" s="208"/>
      <c r="J552" s="208"/>
      <c r="K552" s="351"/>
      <c r="L552" s="351"/>
      <c r="M552" s="208"/>
      <c r="N552" s="208"/>
    </row>
    <row r="553" spans="1:14">
      <c r="A553" s="208"/>
      <c r="B553" s="354">
        <v>551</v>
      </c>
      <c r="C553" s="208"/>
      <c r="D553" s="208"/>
      <c r="E553" s="208"/>
      <c r="F553" s="208"/>
      <c r="G553" s="203"/>
      <c r="H553" s="203">
        <f t="shared" si="8"/>
        <v>551</v>
      </c>
      <c r="I553" s="208"/>
      <c r="J553" s="208"/>
      <c r="K553" s="351"/>
      <c r="L553" s="351"/>
      <c r="M553" s="208"/>
      <c r="N553" s="208"/>
    </row>
    <row r="554" spans="1:14">
      <c r="A554" s="208"/>
      <c r="B554" s="354">
        <v>552</v>
      </c>
      <c r="C554" s="208"/>
      <c r="D554" s="208"/>
      <c r="E554" s="208"/>
      <c r="F554" s="208"/>
      <c r="G554" s="203"/>
      <c r="H554" s="203">
        <f t="shared" si="8"/>
        <v>552</v>
      </c>
      <c r="I554" s="208"/>
      <c r="J554" s="208"/>
      <c r="K554" s="351"/>
      <c r="L554" s="351"/>
      <c r="M554" s="208"/>
      <c r="N554" s="208"/>
    </row>
    <row r="555" spans="1:14">
      <c r="A555" s="208"/>
      <c r="B555" s="354">
        <v>553</v>
      </c>
      <c r="C555" s="208"/>
      <c r="D555" s="208"/>
      <c r="E555" s="208"/>
      <c r="F555" s="208"/>
      <c r="G555" s="203"/>
      <c r="H555" s="203">
        <f t="shared" si="8"/>
        <v>553</v>
      </c>
      <c r="I555" s="208"/>
      <c r="J555" s="208"/>
      <c r="K555" s="351"/>
      <c r="L555" s="351"/>
      <c r="M555" s="208"/>
      <c r="N555" s="208"/>
    </row>
    <row r="556" spans="1:14">
      <c r="A556" s="208"/>
      <c r="B556" s="354">
        <v>554</v>
      </c>
      <c r="C556" s="208"/>
      <c r="D556" s="208"/>
      <c r="E556" s="208"/>
      <c r="F556" s="208"/>
      <c r="G556" s="203"/>
      <c r="H556" s="203">
        <f t="shared" si="8"/>
        <v>554</v>
      </c>
      <c r="I556" s="208"/>
      <c r="J556" s="208"/>
      <c r="K556" s="351"/>
      <c r="L556" s="351"/>
      <c r="M556" s="208"/>
      <c r="N556" s="208"/>
    </row>
    <row r="557" spans="1:14">
      <c r="A557" s="208"/>
      <c r="B557" s="354">
        <v>555</v>
      </c>
      <c r="C557" s="208"/>
      <c r="D557" s="208"/>
      <c r="E557" s="208"/>
      <c r="F557" s="208"/>
      <c r="G557" s="203"/>
      <c r="H557" s="203">
        <f t="shared" si="8"/>
        <v>555</v>
      </c>
      <c r="I557" s="208"/>
      <c r="J557" s="208"/>
      <c r="K557" s="351"/>
      <c r="L557" s="351"/>
      <c r="M557" s="208"/>
      <c r="N557" s="208"/>
    </row>
    <row r="558" spans="1:14">
      <c r="A558" s="208"/>
      <c r="B558" s="354">
        <v>556</v>
      </c>
      <c r="C558" s="208"/>
      <c r="D558" s="208"/>
      <c r="E558" s="208"/>
      <c r="F558" s="208"/>
      <c r="G558" s="203"/>
      <c r="H558" s="203">
        <f t="shared" si="8"/>
        <v>556</v>
      </c>
      <c r="I558" s="208"/>
      <c r="J558" s="208"/>
      <c r="K558" s="351"/>
      <c r="L558" s="351"/>
      <c r="M558" s="208"/>
      <c r="N558" s="208"/>
    </row>
    <row r="559" spans="1:14">
      <c r="A559" s="208"/>
      <c r="B559" s="354">
        <v>557</v>
      </c>
      <c r="C559" s="208"/>
      <c r="D559" s="208"/>
      <c r="E559" s="208"/>
      <c r="F559" s="208"/>
      <c r="G559" s="203"/>
      <c r="H559" s="203">
        <f t="shared" si="8"/>
        <v>557</v>
      </c>
      <c r="I559" s="208"/>
      <c r="J559" s="208"/>
      <c r="K559" s="351"/>
      <c r="L559" s="351"/>
      <c r="M559" s="208"/>
      <c r="N559" s="208"/>
    </row>
    <row r="560" spans="1:14">
      <c r="A560" s="208"/>
      <c r="B560" s="354">
        <v>558</v>
      </c>
      <c r="C560" s="208"/>
      <c r="D560" s="208"/>
      <c r="E560" s="208"/>
      <c r="F560" s="208"/>
      <c r="G560" s="203"/>
      <c r="H560" s="203">
        <f t="shared" si="8"/>
        <v>558</v>
      </c>
      <c r="I560" s="208"/>
      <c r="J560" s="208"/>
      <c r="K560" s="351"/>
      <c r="L560" s="351"/>
      <c r="M560" s="208"/>
      <c r="N560" s="208"/>
    </row>
    <row r="561" spans="1:14">
      <c r="A561" s="208"/>
      <c r="B561" s="354">
        <v>559</v>
      </c>
      <c r="C561" s="208"/>
      <c r="D561" s="208"/>
      <c r="E561" s="208"/>
      <c r="F561" s="208"/>
      <c r="G561" s="203"/>
      <c r="H561" s="203">
        <f t="shared" si="8"/>
        <v>559</v>
      </c>
      <c r="I561" s="208"/>
      <c r="J561" s="208"/>
      <c r="K561" s="351"/>
      <c r="L561" s="351"/>
      <c r="M561" s="208"/>
      <c r="N561" s="208"/>
    </row>
    <row r="562" spans="1:14">
      <c r="A562" s="208"/>
      <c r="B562" s="354">
        <v>560</v>
      </c>
      <c r="C562" s="208"/>
      <c r="D562" s="208"/>
      <c r="E562" s="208"/>
      <c r="F562" s="208"/>
      <c r="G562" s="203"/>
      <c r="H562" s="203">
        <f t="shared" si="8"/>
        <v>560</v>
      </c>
      <c r="I562" s="208"/>
      <c r="J562" s="208"/>
      <c r="K562" s="351"/>
      <c r="L562" s="351"/>
      <c r="M562" s="208"/>
      <c r="N562" s="208"/>
    </row>
    <row r="563" spans="1:14">
      <c r="A563" s="208"/>
      <c r="B563" s="354">
        <v>561</v>
      </c>
      <c r="C563" s="208"/>
      <c r="D563" s="208"/>
      <c r="E563" s="208"/>
      <c r="F563" s="208"/>
      <c r="G563" s="203"/>
      <c r="H563" s="203">
        <f t="shared" si="8"/>
        <v>561</v>
      </c>
      <c r="I563" s="208"/>
      <c r="J563" s="208"/>
      <c r="K563" s="351"/>
      <c r="L563" s="351"/>
      <c r="M563" s="208"/>
      <c r="N563" s="208"/>
    </row>
    <row r="564" spans="1:14">
      <c r="A564" s="208"/>
      <c r="B564" s="354">
        <v>562</v>
      </c>
      <c r="C564" s="208"/>
      <c r="D564" s="208"/>
      <c r="E564" s="208"/>
      <c r="F564" s="208"/>
      <c r="G564" s="203"/>
      <c r="H564" s="203">
        <f t="shared" si="8"/>
        <v>562</v>
      </c>
      <c r="I564" s="208"/>
      <c r="J564" s="208"/>
      <c r="K564" s="351"/>
      <c r="L564" s="351"/>
      <c r="M564" s="208"/>
      <c r="N564" s="208"/>
    </row>
    <row r="565" spans="1:14">
      <c r="A565" s="208"/>
      <c r="B565" s="354">
        <v>563</v>
      </c>
      <c r="C565" s="208"/>
      <c r="D565" s="208"/>
      <c r="E565" s="208"/>
      <c r="F565" s="208"/>
      <c r="G565" s="203"/>
      <c r="H565" s="203">
        <f t="shared" si="8"/>
        <v>563</v>
      </c>
      <c r="I565" s="208"/>
      <c r="J565" s="208"/>
      <c r="K565" s="351"/>
      <c r="L565" s="351"/>
      <c r="M565" s="208"/>
      <c r="N565" s="208"/>
    </row>
    <row r="566" spans="1:14">
      <c r="A566" s="208"/>
      <c r="B566" s="354">
        <v>564</v>
      </c>
      <c r="C566" s="208"/>
      <c r="D566" s="208"/>
      <c r="E566" s="208"/>
      <c r="F566" s="208"/>
      <c r="G566" s="203"/>
      <c r="H566" s="203">
        <f t="shared" si="8"/>
        <v>564</v>
      </c>
      <c r="I566" s="208"/>
      <c r="J566" s="208"/>
      <c r="K566" s="351"/>
      <c r="L566" s="351"/>
      <c r="M566" s="208"/>
      <c r="N566" s="208"/>
    </row>
    <row r="567" spans="1:14">
      <c r="A567" s="208"/>
      <c r="B567" s="354">
        <v>565</v>
      </c>
      <c r="C567" s="208"/>
      <c r="D567" s="208"/>
      <c r="E567" s="208"/>
      <c r="F567" s="208"/>
      <c r="G567" s="203"/>
      <c r="H567" s="203">
        <f t="shared" si="8"/>
        <v>565</v>
      </c>
      <c r="I567" s="208"/>
      <c r="J567" s="208"/>
      <c r="K567" s="351"/>
      <c r="L567" s="351"/>
      <c r="M567" s="208"/>
      <c r="N567" s="208"/>
    </row>
    <row r="568" spans="1:14">
      <c r="A568" s="208"/>
      <c r="B568" s="354">
        <v>566</v>
      </c>
      <c r="C568" s="208"/>
      <c r="D568" s="208"/>
      <c r="E568" s="208"/>
      <c r="F568" s="208"/>
      <c r="G568" s="203"/>
      <c r="H568" s="203">
        <f t="shared" si="8"/>
        <v>566</v>
      </c>
      <c r="I568" s="208"/>
      <c r="J568" s="208"/>
      <c r="K568" s="351"/>
      <c r="L568" s="351"/>
      <c r="M568" s="208"/>
      <c r="N568" s="208"/>
    </row>
    <row r="569" spans="1:14">
      <c r="A569" s="208"/>
      <c r="B569" s="354">
        <v>567</v>
      </c>
      <c r="C569" s="208"/>
      <c r="D569" s="208"/>
      <c r="E569" s="208"/>
      <c r="F569" s="208"/>
      <c r="G569" s="203"/>
      <c r="H569" s="203">
        <f t="shared" si="8"/>
        <v>567</v>
      </c>
      <c r="I569" s="208"/>
      <c r="J569" s="208"/>
      <c r="K569" s="351"/>
      <c r="L569" s="351"/>
      <c r="M569" s="208"/>
      <c r="N569" s="208"/>
    </row>
    <row r="570" spans="1:14">
      <c r="A570" s="208"/>
      <c r="B570" s="354">
        <v>568</v>
      </c>
      <c r="C570" s="208"/>
      <c r="D570" s="208"/>
      <c r="E570" s="208"/>
      <c r="F570" s="208"/>
      <c r="G570" s="203"/>
      <c r="H570" s="203">
        <f t="shared" si="8"/>
        <v>568</v>
      </c>
      <c r="I570" s="208"/>
      <c r="J570" s="208"/>
      <c r="K570" s="351"/>
      <c r="L570" s="351"/>
      <c r="M570" s="208"/>
      <c r="N570" s="208"/>
    </row>
    <row r="571" spans="1:14">
      <c r="A571" s="208"/>
      <c r="B571" s="354">
        <v>569</v>
      </c>
      <c r="C571" s="208"/>
      <c r="D571" s="208"/>
      <c r="E571" s="208"/>
      <c r="F571" s="208"/>
      <c r="G571" s="203"/>
      <c r="H571" s="203">
        <f t="shared" si="8"/>
        <v>569</v>
      </c>
      <c r="I571" s="208"/>
      <c r="J571" s="208"/>
      <c r="K571" s="351"/>
      <c r="L571" s="351"/>
      <c r="M571" s="208"/>
      <c r="N571" s="208"/>
    </row>
    <row r="572" spans="1:14">
      <c r="A572" s="208"/>
      <c r="B572" s="354">
        <v>570</v>
      </c>
      <c r="C572" s="208"/>
      <c r="D572" s="208"/>
      <c r="E572" s="208"/>
      <c r="F572" s="208"/>
      <c r="G572" s="203"/>
      <c r="H572" s="203">
        <f t="shared" si="8"/>
        <v>570</v>
      </c>
      <c r="I572" s="208"/>
      <c r="J572" s="208"/>
      <c r="K572" s="351"/>
      <c r="L572" s="351"/>
      <c r="M572" s="208"/>
      <c r="N572" s="208"/>
    </row>
    <row r="573" spans="1:14">
      <c r="A573" s="208"/>
      <c r="B573" s="354">
        <v>571</v>
      </c>
      <c r="C573" s="208"/>
      <c r="D573" s="208"/>
      <c r="E573" s="208"/>
      <c r="F573" s="208"/>
      <c r="G573" s="203"/>
      <c r="H573" s="203">
        <f t="shared" si="8"/>
        <v>571</v>
      </c>
      <c r="I573" s="208"/>
      <c r="J573" s="208"/>
      <c r="K573" s="351"/>
      <c r="L573" s="351"/>
      <c r="M573" s="208"/>
      <c r="N573" s="208"/>
    </row>
    <row r="574" spans="1:14">
      <c r="A574" s="208"/>
      <c r="B574" s="354">
        <v>572</v>
      </c>
      <c r="C574" s="208"/>
      <c r="D574" s="208"/>
      <c r="E574" s="208"/>
      <c r="F574" s="208"/>
      <c r="G574" s="203"/>
      <c r="H574" s="203">
        <f t="shared" si="8"/>
        <v>572</v>
      </c>
      <c r="I574" s="208"/>
      <c r="J574" s="208"/>
      <c r="K574" s="351"/>
      <c r="L574" s="351"/>
      <c r="M574" s="208"/>
      <c r="N574" s="208"/>
    </row>
    <row r="575" spans="1:14">
      <c r="A575" s="208"/>
      <c r="B575" s="354">
        <v>573</v>
      </c>
      <c r="C575" s="208"/>
      <c r="D575" s="208"/>
      <c r="E575" s="208"/>
      <c r="F575" s="208"/>
      <c r="G575" s="203"/>
      <c r="H575" s="203">
        <f t="shared" si="8"/>
        <v>573</v>
      </c>
      <c r="I575" s="208"/>
      <c r="J575" s="208"/>
      <c r="K575" s="351"/>
      <c r="L575" s="351"/>
      <c r="M575" s="208"/>
      <c r="N575" s="208"/>
    </row>
    <row r="576" spans="1:14">
      <c r="A576" s="208"/>
      <c r="B576" s="354">
        <v>574</v>
      </c>
      <c r="C576" s="208"/>
      <c r="D576" s="208"/>
      <c r="E576" s="208"/>
      <c r="F576" s="208"/>
      <c r="G576" s="203"/>
      <c r="H576" s="203">
        <f t="shared" si="8"/>
        <v>574</v>
      </c>
      <c r="I576" s="208"/>
      <c r="J576" s="208"/>
      <c r="K576" s="351"/>
      <c r="L576" s="351"/>
      <c r="M576" s="208"/>
      <c r="N576" s="208"/>
    </row>
    <row r="577" spans="1:14">
      <c r="A577" s="208"/>
      <c r="B577" s="354">
        <v>575</v>
      </c>
      <c r="C577" s="208"/>
      <c r="D577" s="208"/>
      <c r="E577" s="208"/>
      <c r="F577" s="208"/>
      <c r="G577" s="203"/>
      <c r="H577" s="203">
        <f t="shared" si="8"/>
        <v>575</v>
      </c>
      <c r="I577" s="208"/>
      <c r="J577" s="208"/>
      <c r="K577" s="351"/>
      <c r="L577" s="351"/>
      <c r="M577" s="208"/>
      <c r="N577" s="208"/>
    </row>
    <row r="578" spans="1:14">
      <c r="A578" s="208"/>
      <c r="B578" s="354">
        <v>576</v>
      </c>
      <c r="C578" s="208"/>
      <c r="D578" s="208"/>
      <c r="E578" s="208"/>
      <c r="F578" s="208"/>
      <c r="G578" s="203"/>
      <c r="H578" s="203">
        <f t="shared" si="8"/>
        <v>576</v>
      </c>
      <c r="I578" s="208"/>
      <c r="J578" s="208"/>
      <c r="K578" s="351"/>
      <c r="L578" s="351"/>
      <c r="M578" s="208"/>
      <c r="N578" s="208"/>
    </row>
    <row r="579" spans="1:14">
      <c r="A579" s="208"/>
      <c r="B579" s="354">
        <v>577</v>
      </c>
      <c r="C579" s="208"/>
      <c r="D579" s="208"/>
      <c r="E579" s="208"/>
      <c r="F579" s="208"/>
      <c r="G579" s="203"/>
      <c r="H579" s="203">
        <f t="shared" si="8"/>
        <v>577</v>
      </c>
      <c r="I579" s="208"/>
      <c r="J579" s="208"/>
      <c r="K579" s="351"/>
      <c r="L579" s="351"/>
      <c r="M579" s="208"/>
      <c r="N579" s="208"/>
    </row>
    <row r="580" spans="1:14">
      <c r="A580" s="208"/>
      <c r="B580" s="354">
        <v>578</v>
      </c>
      <c r="C580" s="208"/>
      <c r="D580" s="208"/>
      <c r="E580" s="208"/>
      <c r="F580" s="208"/>
      <c r="G580" s="203"/>
      <c r="H580" s="203">
        <f t="shared" ref="H580:H643" si="9">B580</f>
        <v>578</v>
      </c>
      <c r="I580" s="208"/>
      <c r="J580" s="208"/>
      <c r="K580" s="351"/>
      <c r="L580" s="351"/>
      <c r="M580" s="208"/>
      <c r="N580" s="208"/>
    </row>
    <row r="581" spans="1:14">
      <c r="A581" s="208"/>
      <c r="B581" s="354">
        <v>579</v>
      </c>
      <c r="C581" s="208"/>
      <c r="D581" s="208"/>
      <c r="E581" s="208"/>
      <c r="F581" s="208"/>
      <c r="G581" s="203"/>
      <c r="H581" s="203">
        <f t="shared" si="9"/>
        <v>579</v>
      </c>
      <c r="I581" s="208"/>
      <c r="J581" s="208"/>
      <c r="K581" s="351"/>
      <c r="L581" s="351"/>
      <c r="M581" s="208"/>
      <c r="N581" s="208"/>
    </row>
    <row r="582" spans="1:14">
      <c r="A582" s="208"/>
      <c r="B582" s="354">
        <v>580</v>
      </c>
      <c r="C582" s="208"/>
      <c r="D582" s="208"/>
      <c r="E582" s="208"/>
      <c r="F582" s="208"/>
      <c r="G582" s="203"/>
      <c r="H582" s="203">
        <f t="shared" si="9"/>
        <v>580</v>
      </c>
      <c r="I582" s="208"/>
      <c r="J582" s="208"/>
      <c r="K582" s="351"/>
      <c r="L582" s="351"/>
      <c r="M582" s="208"/>
      <c r="N582" s="208"/>
    </row>
    <row r="583" spans="1:14">
      <c r="A583" s="208"/>
      <c r="B583" s="354">
        <v>581</v>
      </c>
      <c r="C583" s="208"/>
      <c r="D583" s="208"/>
      <c r="E583" s="208"/>
      <c r="F583" s="208"/>
      <c r="G583" s="203"/>
      <c r="H583" s="203">
        <f t="shared" si="9"/>
        <v>581</v>
      </c>
      <c r="I583" s="208"/>
      <c r="J583" s="208"/>
      <c r="K583" s="351"/>
      <c r="L583" s="351"/>
      <c r="M583" s="208"/>
      <c r="N583" s="208"/>
    </row>
    <row r="584" spans="1:14">
      <c r="A584" s="208"/>
      <c r="B584" s="354">
        <v>582</v>
      </c>
      <c r="C584" s="208"/>
      <c r="D584" s="208"/>
      <c r="E584" s="208"/>
      <c r="F584" s="208"/>
      <c r="G584" s="203"/>
      <c r="H584" s="203">
        <f t="shared" si="9"/>
        <v>582</v>
      </c>
      <c r="I584" s="208"/>
      <c r="J584" s="208"/>
      <c r="K584" s="351"/>
      <c r="L584" s="351"/>
      <c r="M584" s="208"/>
      <c r="N584" s="208"/>
    </row>
    <row r="585" spans="1:14">
      <c r="A585" s="208"/>
      <c r="B585" s="354">
        <v>583</v>
      </c>
      <c r="C585" s="208"/>
      <c r="D585" s="208"/>
      <c r="E585" s="208"/>
      <c r="F585" s="208"/>
      <c r="G585" s="203"/>
      <c r="H585" s="203">
        <f t="shared" si="9"/>
        <v>583</v>
      </c>
      <c r="I585" s="208"/>
      <c r="J585" s="208"/>
      <c r="K585" s="351"/>
      <c r="L585" s="351"/>
      <c r="M585" s="208"/>
      <c r="N585" s="208"/>
    </row>
    <row r="586" spans="1:14">
      <c r="A586" s="208"/>
      <c r="B586" s="354">
        <v>584</v>
      </c>
      <c r="C586" s="208"/>
      <c r="D586" s="208"/>
      <c r="E586" s="208"/>
      <c r="F586" s="208"/>
      <c r="G586" s="203"/>
      <c r="H586" s="203">
        <f t="shared" si="9"/>
        <v>584</v>
      </c>
      <c r="I586" s="208"/>
      <c r="J586" s="208"/>
      <c r="K586" s="351"/>
      <c r="L586" s="351"/>
      <c r="M586" s="208"/>
      <c r="N586" s="208"/>
    </row>
    <row r="587" spans="1:14">
      <c r="A587" s="208"/>
      <c r="B587" s="354">
        <v>585</v>
      </c>
      <c r="C587" s="208"/>
      <c r="D587" s="208"/>
      <c r="E587" s="208"/>
      <c r="F587" s="208"/>
      <c r="G587" s="203"/>
      <c r="H587" s="203">
        <f t="shared" si="9"/>
        <v>585</v>
      </c>
      <c r="I587" s="208"/>
      <c r="J587" s="208"/>
      <c r="K587" s="351"/>
      <c r="L587" s="351"/>
      <c r="M587" s="208"/>
      <c r="N587" s="208"/>
    </row>
    <row r="588" spans="1:14">
      <c r="A588" s="208"/>
      <c r="B588" s="354">
        <v>586</v>
      </c>
      <c r="C588" s="208"/>
      <c r="D588" s="208"/>
      <c r="E588" s="208"/>
      <c r="F588" s="208"/>
      <c r="G588" s="203"/>
      <c r="H588" s="203">
        <f t="shared" si="9"/>
        <v>586</v>
      </c>
      <c r="I588" s="208"/>
      <c r="J588" s="208"/>
      <c r="K588" s="351"/>
      <c r="L588" s="351"/>
      <c r="M588" s="208"/>
      <c r="N588" s="208"/>
    </row>
    <row r="589" spans="1:14">
      <c r="A589" s="208"/>
      <c r="B589" s="354">
        <v>587</v>
      </c>
      <c r="C589" s="208"/>
      <c r="D589" s="208"/>
      <c r="E589" s="208"/>
      <c r="F589" s="208"/>
      <c r="G589" s="203"/>
      <c r="H589" s="203">
        <f t="shared" si="9"/>
        <v>587</v>
      </c>
      <c r="I589" s="208"/>
      <c r="J589" s="208"/>
      <c r="K589" s="351"/>
      <c r="L589" s="351"/>
      <c r="M589" s="208"/>
      <c r="N589" s="208"/>
    </row>
    <row r="590" spans="1:14">
      <c r="A590" s="208"/>
      <c r="B590" s="354">
        <v>588</v>
      </c>
      <c r="C590" s="208"/>
      <c r="D590" s="208"/>
      <c r="E590" s="208"/>
      <c r="F590" s="208"/>
      <c r="G590" s="203"/>
      <c r="H590" s="203">
        <f t="shared" si="9"/>
        <v>588</v>
      </c>
      <c r="I590" s="208"/>
      <c r="J590" s="208"/>
      <c r="K590" s="351"/>
      <c r="L590" s="351"/>
      <c r="M590" s="208"/>
      <c r="N590" s="208"/>
    </row>
    <row r="591" spans="1:14">
      <c r="A591" s="208"/>
      <c r="B591" s="354">
        <v>589</v>
      </c>
      <c r="C591" s="208"/>
      <c r="D591" s="208"/>
      <c r="E591" s="208"/>
      <c r="F591" s="208"/>
      <c r="G591" s="203"/>
      <c r="H591" s="203">
        <f t="shared" si="9"/>
        <v>589</v>
      </c>
      <c r="I591" s="208"/>
      <c r="J591" s="208"/>
      <c r="K591" s="351"/>
      <c r="L591" s="351"/>
      <c r="M591" s="208"/>
      <c r="N591" s="208"/>
    </row>
    <row r="592" spans="1:14">
      <c r="A592" s="208"/>
      <c r="B592" s="354">
        <v>590</v>
      </c>
      <c r="C592" s="208"/>
      <c r="D592" s="208"/>
      <c r="E592" s="208"/>
      <c r="F592" s="208"/>
      <c r="G592" s="203"/>
      <c r="H592" s="203">
        <f t="shared" si="9"/>
        <v>590</v>
      </c>
      <c r="I592" s="208"/>
      <c r="J592" s="208"/>
      <c r="K592" s="351"/>
      <c r="L592" s="351"/>
      <c r="M592" s="208"/>
      <c r="N592" s="208"/>
    </row>
    <row r="593" spans="1:14">
      <c r="A593" s="208"/>
      <c r="B593" s="354">
        <v>591</v>
      </c>
      <c r="C593" s="208"/>
      <c r="D593" s="208"/>
      <c r="E593" s="208"/>
      <c r="F593" s="208"/>
      <c r="G593" s="203"/>
      <c r="H593" s="203">
        <f t="shared" si="9"/>
        <v>591</v>
      </c>
      <c r="I593" s="208"/>
      <c r="J593" s="208"/>
      <c r="K593" s="351"/>
      <c r="L593" s="351"/>
      <c r="M593" s="208"/>
      <c r="N593" s="208"/>
    </row>
    <row r="594" spans="1:14">
      <c r="A594" s="208"/>
      <c r="B594" s="354">
        <v>592</v>
      </c>
      <c r="C594" s="208"/>
      <c r="D594" s="208"/>
      <c r="E594" s="208"/>
      <c r="F594" s="208"/>
      <c r="G594" s="203"/>
      <c r="H594" s="203">
        <f t="shared" si="9"/>
        <v>592</v>
      </c>
      <c r="I594" s="208"/>
      <c r="J594" s="208"/>
      <c r="K594" s="351"/>
      <c r="L594" s="351"/>
      <c r="M594" s="208"/>
      <c r="N594" s="208"/>
    </row>
    <row r="595" spans="1:14">
      <c r="A595" s="208"/>
      <c r="B595" s="354">
        <v>593</v>
      </c>
      <c r="C595" s="208"/>
      <c r="D595" s="208"/>
      <c r="E595" s="208"/>
      <c r="F595" s="208"/>
      <c r="G595" s="203"/>
      <c r="H595" s="203">
        <f t="shared" si="9"/>
        <v>593</v>
      </c>
      <c r="I595" s="208"/>
      <c r="J595" s="208"/>
      <c r="K595" s="351"/>
      <c r="L595" s="351"/>
      <c r="M595" s="208"/>
      <c r="N595" s="208"/>
    </row>
    <row r="596" spans="1:14">
      <c r="A596" s="208"/>
      <c r="B596" s="354">
        <v>594</v>
      </c>
      <c r="C596" s="208"/>
      <c r="D596" s="208"/>
      <c r="E596" s="208"/>
      <c r="F596" s="208"/>
      <c r="G596" s="203"/>
      <c r="H596" s="203">
        <f t="shared" si="9"/>
        <v>594</v>
      </c>
      <c r="I596" s="208"/>
      <c r="J596" s="208"/>
      <c r="K596" s="351"/>
      <c r="L596" s="351"/>
      <c r="M596" s="208"/>
      <c r="N596" s="208"/>
    </row>
    <row r="597" spans="1:14">
      <c r="A597" s="208"/>
      <c r="B597" s="354">
        <v>595</v>
      </c>
      <c r="C597" s="208"/>
      <c r="D597" s="208"/>
      <c r="E597" s="208"/>
      <c r="F597" s="208"/>
      <c r="G597" s="203"/>
      <c r="H597" s="203">
        <f t="shared" si="9"/>
        <v>595</v>
      </c>
      <c r="I597" s="208"/>
      <c r="J597" s="208"/>
      <c r="K597" s="351"/>
      <c r="L597" s="351"/>
      <c r="M597" s="208"/>
      <c r="N597" s="208"/>
    </row>
    <row r="598" spans="1:14">
      <c r="A598" s="208"/>
      <c r="B598" s="354">
        <v>596</v>
      </c>
      <c r="C598" s="208"/>
      <c r="D598" s="208"/>
      <c r="E598" s="208"/>
      <c r="F598" s="208"/>
      <c r="G598" s="203"/>
      <c r="H598" s="203">
        <f t="shared" si="9"/>
        <v>596</v>
      </c>
      <c r="I598" s="208"/>
      <c r="J598" s="208"/>
      <c r="K598" s="351"/>
      <c r="L598" s="351"/>
      <c r="M598" s="208"/>
      <c r="N598" s="208"/>
    </row>
    <row r="599" spans="1:14">
      <c r="A599" s="208"/>
      <c r="B599" s="354">
        <v>597</v>
      </c>
      <c r="C599" s="208"/>
      <c r="D599" s="208"/>
      <c r="E599" s="208"/>
      <c r="F599" s="208"/>
      <c r="G599" s="203"/>
      <c r="H599" s="203">
        <f t="shared" si="9"/>
        <v>597</v>
      </c>
      <c r="I599" s="208"/>
      <c r="J599" s="208"/>
      <c r="K599" s="351"/>
      <c r="L599" s="351"/>
      <c r="M599" s="208"/>
      <c r="N599" s="208"/>
    </row>
    <row r="600" spans="1:14">
      <c r="A600" s="208"/>
      <c r="B600" s="354">
        <v>598</v>
      </c>
      <c r="C600" s="208"/>
      <c r="D600" s="208"/>
      <c r="E600" s="208"/>
      <c r="F600" s="208"/>
      <c r="G600" s="203"/>
      <c r="H600" s="203">
        <f t="shared" si="9"/>
        <v>598</v>
      </c>
      <c r="I600" s="208"/>
      <c r="J600" s="208"/>
      <c r="K600" s="351"/>
      <c r="L600" s="351"/>
      <c r="M600" s="208"/>
      <c r="N600" s="208"/>
    </row>
    <row r="601" spans="1:14">
      <c r="A601" s="208"/>
      <c r="B601" s="354">
        <v>599</v>
      </c>
      <c r="C601" s="208"/>
      <c r="D601" s="208"/>
      <c r="E601" s="208"/>
      <c r="F601" s="208"/>
      <c r="G601" s="203"/>
      <c r="H601" s="203">
        <f t="shared" si="9"/>
        <v>599</v>
      </c>
      <c r="I601" s="208"/>
      <c r="J601" s="208"/>
      <c r="K601" s="351"/>
      <c r="L601" s="351"/>
      <c r="M601" s="208"/>
      <c r="N601" s="208"/>
    </row>
    <row r="602" spans="1:14">
      <c r="A602" s="208"/>
      <c r="B602" s="354">
        <v>600</v>
      </c>
      <c r="C602" s="208"/>
      <c r="D602" s="208"/>
      <c r="E602" s="208"/>
      <c r="F602" s="208"/>
      <c r="G602" s="203"/>
      <c r="H602" s="203">
        <f t="shared" si="9"/>
        <v>600</v>
      </c>
      <c r="I602" s="208"/>
      <c r="J602" s="208"/>
      <c r="K602" s="351"/>
      <c r="L602" s="351"/>
      <c r="M602" s="208"/>
      <c r="N602" s="208"/>
    </row>
    <row r="603" spans="1:14">
      <c r="A603" s="208"/>
      <c r="B603" s="354">
        <v>601</v>
      </c>
      <c r="C603" s="208"/>
      <c r="D603" s="208"/>
      <c r="E603" s="208"/>
      <c r="F603" s="208"/>
      <c r="G603" s="203"/>
      <c r="H603" s="203">
        <f t="shared" si="9"/>
        <v>601</v>
      </c>
      <c r="I603" s="208"/>
      <c r="J603" s="208"/>
      <c r="K603" s="351"/>
      <c r="L603" s="351"/>
      <c r="M603" s="208"/>
      <c r="N603" s="208"/>
    </row>
    <row r="604" spans="1:14">
      <c r="A604" s="208"/>
      <c r="B604" s="354">
        <v>602</v>
      </c>
      <c r="C604" s="208"/>
      <c r="D604" s="208"/>
      <c r="E604" s="208"/>
      <c r="F604" s="208"/>
      <c r="G604" s="203"/>
      <c r="H604" s="203">
        <f t="shared" si="9"/>
        <v>602</v>
      </c>
      <c r="I604" s="208"/>
      <c r="J604" s="208"/>
      <c r="K604" s="351"/>
      <c r="L604" s="351"/>
      <c r="M604" s="208"/>
      <c r="N604" s="208"/>
    </row>
    <row r="605" spans="1:14">
      <c r="A605" s="208"/>
      <c r="B605" s="354">
        <v>603</v>
      </c>
      <c r="C605" s="208"/>
      <c r="D605" s="208"/>
      <c r="E605" s="208"/>
      <c r="F605" s="208"/>
      <c r="G605" s="203"/>
      <c r="H605" s="203">
        <f t="shared" si="9"/>
        <v>603</v>
      </c>
      <c r="I605" s="208"/>
      <c r="J605" s="208"/>
      <c r="K605" s="351"/>
      <c r="L605" s="351"/>
      <c r="M605" s="208"/>
      <c r="N605" s="208"/>
    </row>
    <row r="606" spans="1:14">
      <c r="A606" s="208"/>
      <c r="B606" s="354">
        <v>604</v>
      </c>
      <c r="C606" s="208"/>
      <c r="D606" s="208"/>
      <c r="E606" s="208"/>
      <c r="F606" s="208"/>
      <c r="G606" s="203"/>
      <c r="H606" s="203">
        <f t="shared" si="9"/>
        <v>604</v>
      </c>
      <c r="I606" s="208"/>
      <c r="J606" s="208"/>
      <c r="K606" s="351"/>
      <c r="L606" s="351"/>
      <c r="M606" s="208"/>
      <c r="N606" s="208"/>
    </row>
    <row r="607" spans="1:14">
      <c r="A607" s="208"/>
      <c r="B607" s="354">
        <v>605</v>
      </c>
      <c r="C607" s="208"/>
      <c r="D607" s="208"/>
      <c r="E607" s="208"/>
      <c r="F607" s="208"/>
      <c r="G607" s="203"/>
      <c r="H607" s="203">
        <f t="shared" si="9"/>
        <v>605</v>
      </c>
      <c r="I607" s="208"/>
      <c r="J607" s="208"/>
      <c r="K607" s="351"/>
      <c r="L607" s="351"/>
      <c r="M607" s="208"/>
      <c r="N607" s="208"/>
    </row>
    <row r="608" spans="1:14">
      <c r="A608" s="208"/>
      <c r="B608" s="354">
        <v>606</v>
      </c>
      <c r="C608" s="208"/>
      <c r="D608" s="208"/>
      <c r="E608" s="208"/>
      <c r="F608" s="208"/>
      <c r="G608" s="203"/>
      <c r="H608" s="203">
        <f t="shared" si="9"/>
        <v>606</v>
      </c>
      <c r="I608" s="208"/>
      <c r="J608" s="208"/>
      <c r="K608" s="351"/>
      <c r="L608" s="351"/>
      <c r="M608" s="208"/>
      <c r="N608" s="208"/>
    </row>
    <row r="609" spans="1:14">
      <c r="A609" s="208"/>
      <c r="B609" s="354">
        <v>607</v>
      </c>
      <c r="C609" s="208"/>
      <c r="D609" s="208"/>
      <c r="E609" s="208"/>
      <c r="F609" s="208"/>
      <c r="G609" s="203"/>
      <c r="H609" s="203">
        <f t="shared" si="9"/>
        <v>607</v>
      </c>
      <c r="I609" s="208"/>
      <c r="J609" s="208"/>
      <c r="K609" s="351"/>
      <c r="L609" s="351"/>
      <c r="M609" s="208"/>
      <c r="N609" s="208"/>
    </row>
    <row r="610" spans="1:14">
      <c r="A610" s="208"/>
      <c r="B610" s="354">
        <v>608</v>
      </c>
      <c r="C610" s="208"/>
      <c r="D610" s="208"/>
      <c r="E610" s="208"/>
      <c r="F610" s="208"/>
      <c r="G610" s="203"/>
      <c r="H610" s="203">
        <f t="shared" si="9"/>
        <v>608</v>
      </c>
      <c r="I610" s="208"/>
      <c r="J610" s="208"/>
      <c r="K610" s="351"/>
      <c r="L610" s="351"/>
      <c r="M610" s="208"/>
      <c r="N610" s="208"/>
    </row>
    <row r="611" spans="1:14">
      <c r="A611" s="208"/>
      <c r="B611" s="354">
        <v>609</v>
      </c>
      <c r="C611" s="208"/>
      <c r="D611" s="208"/>
      <c r="E611" s="208"/>
      <c r="F611" s="208"/>
      <c r="G611" s="203"/>
      <c r="H611" s="203">
        <f t="shared" si="9"/>
        <v>609</v>
      </c>
      <c r="I611" s="208"/>
      <c r="J611" s="208"/>
      <c r="K611" s="351"/>
      <c r="L611" s="351"/>
      <c r="M611" s="208"/>
      <c r="N611" s="208"/>
    </row>
    <row r="612" spans="1:14">
      <c r="A612" s="208"/>
      <c r="B612" s="354">
        <v>610</v>
      </c>
      <c r="C612" s="208"/>
      <c r="D612" s="208"/>
      <c r="E612" s="208"/>
      <c r="F612" s="208"/>
      <c r="G612" s="203"/>
      <c r="H612" s="203">
        <f t="shared" si="9"/>
        <v>610</v>
      </c>
      <c r="I612" s="208"/>
      <c r="J612" s="208"/>
      <c r="K612" s="351"/>
      <c r="L612" s="351"/>
      <c r="M612" s="208"/>
      <c r="N612" s="208"/>
    </row>
    <row r="613" spans="1:14">
      <c r="A613" s="208"/>
      <c r="B613" s="354">
        <v>611</v>
      </c>
      <c r="C613" s="208"/>
      <c r="D613" s="208"/>
      <c r="E613" s="208"/>
      <c r="F613" s="208"/>
      <c r="G613" s="203"/>
      <c r="H613" s="203">
        <f t="shared" si="9"/>
        <v>611</v>
      </c>
      <c r="I613" s="208"/>
      <c r="J613" s="208"/>
      <c r="K613" s="351"/>
      <c r="L613" s="351"/>
      <c r="M613" s="208"/>
      <c r="N613" s="208"/>
    </row>
    <row r="614" spans="1:14">
      <c r="A614" s="208"/>
      <c r="B614" s="354">
        <v>612</v>
      </c>
      <c r="C614" s="208"/>
      <c r="D614" s="208"/>
      <c r="E614" s="208"/>
      <c r="F614" s="208"/>
      <c r="G614" s="203"/>
      <c r="H614" s="203">
        <f t="shared" si="9"/>
        <v>612</v>
      </c>
      <c r="I614" s="208"/>
      <c r="J614" s="208"/>
      <c r="K614" s="351"/>
      <c r="L614" s="351"/>
      <c r="M614" s="208"/>
      <c r="N614" s="208"/>
    </row>
    <row r="615" spans="1:14">
      <c r="A615" s="208"/>
      <c r="B615" s="354">
        <v>613</v>
      </c>
      <c r="C615" s="208"/>
      <c r="D615" s="208"/>
      <c r="E615" s="208"/>
      <c r="F615" s="208"/>
      <c r="G615" s="203"/>
      <c r="H615" s="203">
        <f t="shared" si="9"/>
        <v>613</v>
      </c>
      <c r="I615" s="208"/>
      <c r="J615" s="208"/>
      <c r="K615" s="351"/>
      <c r="L615" s="351"/>
      <c r="M615" s="208"/>
      <c r="N615" s="208"/>
    </row>
    <row r="616" spans="1:14">
      <c r="A616" s="208"/>
      <c r="B616" s="354">
        <v>614</v>
      </c>
      <c r="C616" s="208"/>
      <c r="D616" s="208"/>
      <c r="E616" s="208"/>
      <c r="F616" s="208"/>
      <c r="G616" s="203"/>
      <c r="H616" s="203">
        <f t="shared" si="9"/>
        <v>614</v>
      </c>
      <c r="I616" s="208"/>
      <c r="J616" s="208"/>
      <c r="K616" s="351"/>
      <c r="L616" s="351"/>
      <c r="M616" s="208"/>
      <c r="N616" s="208"/>
    </row>
    <row r="617" spans="1:14">
      <c r="A617" s="208"/>
      <c r="B617" s="354">
        <v>615</v>
      </c>
      <c r="C617" s="208"/>
      <c r="D617" s="208"/>
      <c r="E617" s="208"/>
      <c r="F617" s="208"/>
      <c r="G617" s="203"/>
      <c r="H617" s="203">
        <f t="shared" si="9"/>
        <v>615</v>
      </c>
      <c r="I617" s="208"/>
      <c r="J617" s="208"/>
      <c r="K617" s="351"/>
      <c r="L617" s="351"/>
      <c r="M617" s="208"/>
      <c r="N617" s="208"/>
    </row>
    <row r="618" spans="1:14">
      <c r="A618" s="208"/>
      <c r="B618" s="354">
        <v>616</v>
      </c>
      <c r="C618" s="208"/>
      <c r="D618" s="208"/>
      <c r="E618" s="208"/>
      <c r="F618" s="208"/>
      <c r="G618" s="203"/>
      <c r="H618" s="203">
        <f t="shared" si="9"/>
        <v>616</v>
      </c>
      <c r="I618" s="208"/>
      <c r="J618" s="208"/>
      <c r="K618" s="351"/>
      <c r="L618" s="351"/>
      <c r="M618" s="208"/>
      <c r="N618" s="208"/>
    </row>
    <row r="619" spans="1:14">
      <c r="A619" s="208"/>
      <c r="B619" s="354">
        <v>617</v>
      </c>
      <c r="C619" s="208"/>
      <c r="D619" s="208"/>
      <c r="E619" s="208"/>
      <c r="F619" s="208"/>
      <c r="G619" s="203"/>
      <c r="H619" s="203">
        <f t="shared" si="9"/>
        <v>617</v>
      </c>
      <c r="I619" s="208"/>
      <c r="J619" s="208"/>
      <c r="K619" s="351"/>
      <c r="L619" s="351"/>
      <c r="M619" s="208"/>
      <c r="N619" s="208"/>
    </row>
    <row r="620" spans="1:14">
      <c r="A620" s="208"/>
      <c r="B620" s="354">
        <v>618</v>
      </c>
      <c r="C620" s="208"/>
      <c r="D620" s="208"/>
      <c r="E620" s="208"/>
      <c r="F620" s="208"/>
      <c r="G620" s="203"/>
      <c r="H620" s="203">
        <f t="shared" si="9"/>
        <v>618</v>
      </c>
      <c r="I620" s="208"/>
      <c r="J620" s="208"/>
      <c r="K620" s="351"/>
      <c r="L620" s="351"/>
      <c r="M620" s="208"/>
      <c r="N620" s="208"/>
    </row>
    <row r="621" spans="1:14">
      <c r="A621" s="208"/>
      <c r="B621" s="354">
        <v>619</v>
      </c>
      <c r="C621" s="208"/>
      <c r="D621" s="208"/>
      <c r="E621" s="208"/>
      <c r="F621" s="208"/>
      <c r="G621" s="203"/>
      <c r="H621" s="203">
        <f t="shared" si="9"/>
        <v>619</v>
      </c>
      <c r="I621" s="208"/>
      <c r="J621" s="208"/>
      <c r="K621" s="351"/>
      <c r="L621" s="351"/>
      <c r="M621" s="208"/>
      <c r="N621" s="208"/>
    </row>
    <row r="622" spans="1:14">
      <c r="A622" s="208"/>
      <c r="B622" s="354">
        <v>620</v>
      </c>
      <c r="C622" s="208"/>
      <c r="D622" s="208"/>
      <c r="E622" s="208"/>
      <c r="F622" s="208"/>
      <c r="G622" s="203"/>
      <c r="H622" s="203">
        <f t="shared" si="9"/>
        <v>620</v>
      </c>
      <c r="I622" s="208"/>
      <c r="J622" s="208"/>
      <c r="K622" s="351"/>
      <c r="L622" s="351"/>
      <c r="M622" s="208"/>
      <c r="N622" s="208"/>
    </row>
    <row r="623" spans="1:14">
      <c r="A623" s="208"/>
      <c r="B623" s="354">
        <v>621</v>
      </c>
      <c r="C623" s="208"/>
      <c r="D623" s="208"/>
      <c r="E623" s="208"/>
      <c r="F623" s="208"/>
      <c r="G623" s="203"/>
      <c r="H623" s="203">
        <f t="shared" si="9"/>
        <v>621</v>
      </c>
      <c r="I623" s="208"/>
      <c r="J623" s="208"/>
      <c r="K623" s="351"/>
      <c r="L623" s="351"/>
      <c r="M623" s="208"/>
      <c r="N623" s="208"/>
    </row>
    <row r="624" spans="1:14">
      <c r="A624" s="208"/>
      <c r="B624" s="354">
        <v>622</v>
      </c>
      <c r="C624" s="208"/>
      <c r="D624" s="208"/>
      <c r="E624" s="208"/>
      <c r="F624" s="208"/>
      <c r="G624" s="203"/>
      <c r="H624" s="203">
        <f t="shared" si="9"/>
        <v>622</v>
      </c>
      <c r="I624" s="208"/>
      <c r="J624" s="208"/>
      <c r="K624" s="351"/>
      <c r="L624" s="351"/>
      <c r="M624" s="208"/>
      <c r="N624" s="208"/>
    </row>
    <row r="625" spans="1:14">
      <c r="A625" s="208"/>
      <c r="B625" s="354">
        <v>623</v>
      </c>
      <c r="C625" s="208"/>
      <c r="D625" s="208"/>
      <c r="E625" s="208"/>
      <c r="F625" s="208"/>
      <c r="G625" s="203"/>
      <c r="H625" s="203">
        <f t="shared" si="9"/>
        <v>623</v>
      </c>
      <c r="I625" s="208"/>
      <c r="J625" s="208"/>
      <c r="K625" s="351"/>
      <c r="L625" s="351"/>
      <c r="M625" s="208"/>
      <c r="N625" s="208"/>
    </row>
    <row r="626" spans="1:14">
      <c r="A626" s="208"/>
      <c r="B626" s="354">
        <v>624</v>
      </c>
      <c r="C626" s="208"/>
      <c r="D626" s="208"/>
      <c r="E626" s="208"/>
      <c r="F626" s="208"/>
      <c r="G626" s="203"/>
      <c r="H626" s="203">
        <f t="shared" si="9"/>
        <v>624</v>
      </c>
      <c r="I626" s="208"/>
      <c r="J626" s="208"/>
      <c r="K626" s="351"/>
      <c r="L626" s="351"/>
      <c r="M626" s="208"/>
      <c r="N626" s="208"/>
    </row>
    <row r="627" spans="1:14">
      <c r="A627" s="208"/>
      <c r="B627" s="354">
        <v>625</v>
      </c>
      <c r="C627" s="208"/>
      <c r="D627" s="208"/>
      <c r="E627" s="208"/>
      <c r="F627" s="208"/>
      <c r="G627" s="203"/>
      <c r="H627" s="203">
        <f t="shared" si="9"/>
        <v>625</v>
      </c>
      <c r="I627" s="208"/>
      <c r="J627" s="208"/>
      <c r="K627" s="351"/>
      <c r="L627" s="351"/>
      <c r="M627" s="208"/>
      <c r="N627" s="208"/>
    </row>
    <row r="628" spans="1:14">
      <c r="A628" s="208"/>
      <c r="B628" s="354">
        <v>626</v>
      </c>
      <c r="C628" s="208"/>
      <c r="D628" s="208"/>
      <c r="E628" s="208"/>
      <c r="F628" s="208"/>
      <c r="G628" s="203"/>
      <c r="H628" s="203">
        <f t="shared" si="9"/>
        <v>626</v>
      </c>
      <c r="I628" s="208"/>
      <c r="J628" s="208"/>
      <c r="K628" s="351"/>
      <c r="L628" s="351"/>
      <c r="M628" s="208"/>
      <c r="N628" s="208"/>
    </row>
    <row r="629" spans="1:14">
      <c r="A629" s="208"/>
      <c r="B629" s="354">
        <v>627</v>
      </c>
      <c r="C629" s="208"/>
      <c r="D629" s="208"/>
      <c r="E629" s="208"/>
      <c r="F629" s="208"/>
      <c r="G629" s="203"/>
      <c r="H629" s="203">
        <f t="shared" si="9"/>
        <v>627</v>
      </c>
      <c r="I629" s="208"/>
      <c r="J629" s="208"/>
      <c r="K629" s="351"/>
      <c r="L629" s="351"/>
      <c r="M629" s="208"/>
      <c r="N629" s="208"/>
    </row>
    <row r="630" spans="1:14">
      <c r="A630" s="208"/>
      <c r="B630" s="354">
        <v>628</v>
      </c>
      <c r="C630" s="208"/>
      <c r="D630" s="208"/>
      <c r="E630" s="208"/>
      <c r="F630" s="208"/>
      <c r="G630" s="203"/>
      <c r="H630" s="203">
        <f t="shared" si="9"/>
        <v>628</v>
      </c>
      <c r="I630" s="208"/>
      <c r="J630" s="208"/>
      <c r="K630" s="351"/>
      <c r="L630" s="351"/>
      <c r="M630" s="208"/>
      <c r="N630" s="208"/>
    </row>
    <row r="631" spans="1:14">
      <c r="A631" s="208"/>
      <c r="B631" s="354">
        <v>629</v>
      </c>
      <c r="C631" s="208"/>
      <c r="D631" s="208"/>
      <c r="E631" s="208"/>
      <c r="F631" s="208"/>
      <c r="G631" s="203"/>
      <c r="H631" s="203">
        <f t="shared" si="9"/>
        <v>629</v>
      </c>
      <c r="I631" s="208"/>
      <c r="J631" s="208"/>
      <c r="K631" s="351"/>
      <c r="L631" s="351"/>
      <c r="M631" s="208"/>
      <c r="N631" s="208"/>
    </row>
    <row r="632" spans="1:14">
      <c r="A632" s="208"/>
      <c r="B632" s="354">
        <v>630</v>
      </c>
      <c r="C632" s="208"/>
      <c r="D632" s="208"/>
      <c r="E632" s="208"/>
      <c r="F632" s="208"/>
      <c r="G632" s="203"/>
      <c r="H632" s="203">
        <f t="shared" si="9"/>
        <v>630</v>
      </c>
      <c r="I632" s="208"/>
      <c r="J632" s="208"/>
      <c r="K632" s="351"/>
      <c r="L632" s="351"/>
      <c r="M632" s="208"/>
      <c r="N632" s="208"/>
    </row>
    <row r="633" spans="1:14">
      <c r="A633" s="208"/>
      <c r="B633" s="354">
        <v>631</v>
      </c>
      <c r="C633" s="208"/>
      <c r="D633" s="208"/>
      <c r="E633" s="208"/>
      <c r="F633" s="208"/>
      <c r="G633" s="203"/>
      <c r="H633" s="203">
        <f t="shared" si="9"/>
        <v>631</v>
      </c>
      <c r="I633" s="208"/>
      <c r="J633" s="208"/>
      <c r="K633" s="351"/>
      <c r="L633" s="351"/>
      <c r="M633" s="208"/>
      <c r="N633" s="208"/>
    </row>
    <row r="634" spans="1:14">
      <c r="A634" s="208"/>
      <c r="B634" s="354">
        <v>632</v>
      </c>
      <c r="C634" s="208"/>
      <c r="D634" s="208"/>
      <c r="E634" s="208"/>
      <c r="F634" s="208"/>
      <c r="G634" s="203"/>
      <c r="H634" s="203">
        <f t="shared" si="9"/>
        <v>632</v>
      </c>
      <c r="I634" s="208"/>
      <c r="J634" s="208"/>
      <c r="K634" s="351"/>
      <c r="L634" s="351"/>
      <c r="M634" s="208"/>
      <c r="N634" s="208"/>
    </row>
    <row r="635" spans="1:14">
      <c r="A635" s="208"/>
      <c r="B635" s="354">
        <v>633</v>
      </c>
      <c r="C635" s="208"/>
      <c r="D635" s="208"/>
      <c r="E635" s="208"/>
      <c r="F635" s="208"/>
      <c r="G635" s="203"/>
      <c r="H635" s="203">
        <f t="shared" si="9"/>
        <v>633</v>
      </c>
      <c r="I635" s="208"/>
      <c r="J635" s="208"/>
      <c r="K635" s="351"/>
      <c r="L635" s="351"/>
      <c r="M635" s="208"/>
      <c r="N635" s="208"/>
    </row>
    <row r="636" spans="1:14">
      <c r="A636" s="208"/>
      <c r="B636" s="354">
        <v>634</v>
      </c>
      <c r="C636" s="208"/>
      <c r="D636" s="208"/>
      <c r="E636" s="208"/>
      <c r="F636" s="208"/>
      <c r="G636" s="203"/>
      <c r="H636" s="203">
        <f t="shared" si="9"/>
        <v>634</v>
      </c>
      <c r="I636" s="208"/>
      <c r="J636" s="208"/>
      <c r="K636" s="351"/>
      <c r="L636" s="351"/>
      <c r="M636" s="208"/>
      <c r="N636" s="208"/>
    </row>
    <row r="637" spans="1:14">
      <c r="A637" s="208"/>
      <c r="B637" s="354">
        <v>635</v>
      </c>
      <c r="C637" s="208"/>
      <c r="D637" s="208"/>
      <c r="E637" s="208"/>
      <c r="F637" s="208"/>
      <c r="G637" s="203"/>
      <c r="H637" s="203">
        <f t="shared" si="9"/>
        <v>635</v>
      </c>
      <c r="I637" s="208"/>
      <c r="J637" s="208"/>
      <c r="K637" s="351"/>
      <c r="L637" s="351"/>
      <c r="M637" s="208"/>
      <c r="N637" s="208"/>
    </row>
    <row r="638" spans="1:14">
      <c r="A638" s="208"/>
      <c r="B638" s="354">
        <v>636</v>
      </c>
      <c r="C638" s="208"/>
      <c r="D638" s="208"/>
      <c r="E638" s="208"/>
      <c r="F638" s="208"/>
      <c r="G638" s="203"/>
      <c r="H638" s="203">
        <f t="shared" si="9"/>
        <v>636</v>
      </c>
      <c r="I638" s="208"/>
      <c r="J638" s="208"/>
      <c r="K638" s="351"/>
      <c r="L638" s="351"/>
      <c r="M638" s="208"/>
      <c r="N638" s="208"/>
    </row>
    <row r="639" spans="1:14">
      <c r="A639" s="208"/>
      <c r="B639" s="354">
        <v>637</v>
      </c>
      <c r="C639" s="208"/>
      <c r="D639" s="208"/>
      <c r="E639" s="208"/>
      <c r="F639" s="208"/>
      <c r="G639" s="203"/>
      <c r="H639" s="203">
        <f t="shared" si="9"/>
        <v>637</v>
      </c>
      <c r="I639" s="208"/>
      <c r="J639" s="208"/>
      <c r="K639" s="351"/>
      <c r="L639" s="351"/>
      <c r="M639" s="208"/>
      <c r="N639" s="208"/>
    </row>
    <row r="640" spans="1:14">
      <c r="A640" s="208"/>
      <c r="B640" s="354">
        <v>638</v>
      </c>
      <c r="C640" s="208"/>
      <c r="D640" s="208"/>
      <c r="E640" s="208"/>
      <c r="F640" s="208"/>
      <c r="G640" s="203"/>
      <c r="H640" s="203">
        <f t="shared" si="9"/>
        <v>638</v>
      </c>
      <c r="I640" s="208"/>
      <c r="J640" s="208"/>
      <c r="K640" s="351"/>
      <c r="L640" s="351"/>
      <c r="M640" s="208"/>
      <c r="N640" s="208"/>
    </row>
    <row r="641" spans="1:14">
      <c r="A641" s="208"/>
      <c r="B641" s="354">
        <v>639</v>
      </c>
      <c r="C641" s="208"/>
      <c r="D641" s="208"/>
      <c r="E641" s="208"/>
      <c r="F641" s="208"/>
      <c r="G641" s="203"/>
      <c r="H641" s="203">
        <f t="shared" si="9"/>
        <v>639</v>
      </c>
      <c r="I641" s="208"/>
      <c r="J641" s="208"/>
      <c r="K641" s="351"/>
      <c r="L641" s="351"/>
      <c r="M641" s="208"/>
      <c r="N641" s="208"/>
    </row>
    <row r="642" spans="1:14">
      <c r="A642" s="208"/>
      <c r="B642" s="354">
        <v>640</v>
      </c>
      <c r="C642" s="208"/>
      <c r="D642" s="208"/>
      <c r="E642" s="208"/>
      <c r="F642" s="208"/>
      <c r="G642" s="203"/>
      <c r="H642" s="203">
        <f t="shared" si="9"/>
        <v>640</v>
      </c>
      <c r="I642" s="208"/>
      <c r="J642" s="208"/>
      <c r="K642" s="351"/>
      <c r="L642" s="351"/>
      <c r="M642" s="208"/>
      <c r="N642" s="208"/>
    </row>
    <row r="643" spans="1:14">
      <c r="A643" s="208"/>
      <c r="B643" s="354">
        <v>641</v>
      </c>
      <c r="C643" s="208"/>
      <c r="D643" s="208"/>
      <c r="E643" s="208"/>
      <c r="F643" s="208"/>
      <c r="G643" s="203"/>
      <c r="H643" s="203">
        <f t="shared" si="9"/>
        <v>641</v>
      </c>
      <c r="I643" s="208"/>
      <c r="J643" s="208"/>
      <c r="K643" s="351"/>
      <c r="L643" s="351"/>
      <c r="M643" s="208"/>
      <c r="N643" s="208"/>
    </row>
    <row r="644" spans="1:14">
      <c r="A644" s="208"/>
      <c r="B644" s="354">
        <v>642</v>
      </c>
      <c r="C644" s="208"/>
      <c r="D644" s="208"/>
      <c r="E644" s="208"/>
      <c r="F644" s="208"/>
      <c r="G644" s="203"/>
      <c r="H644" s="203">
        <f t="shared" ref="H644:H702" si="10">B644</f>
        <v>642</v>
      </c>
      <c r="I644" s="208"/>
      <c r="J644" s="208"/>
      <c r="K644" s="351"/>
      <c r="L644" s="351"/>
      <c r="M644" s="208"/>
      <c r="N644" s="208"/>
    </row>
    <row r="645" spans="1:14">
      <c r="A645" s="208"/>
      <c r="B645" s="354">
        <v>643</v>
      </c>
      <c r="C645" s="208"/>
      <c r="D645" s="208"/>
      <c r="E645" s="208"/>
      <c r="F645" s="208"/>
      <c r="G645" s="203"/>
      <c r="H645" s="203">
        <f t="shared" si="10"/>
        <v>643</v>
      </c>
      <c r="I645" s="208"/>
      <c r="J645" s="208"/>
      <c r="K645" s="351"/>
      <c r="L645" s="351"/>
      <c r="M645" s="208"/>
      <c r="N645" s="208"/>
    </row>
    <row r="646" spans="1:14">
      <c r="A646" s="208"/>
      <c r="B646" s="354">
        <v>644</v>
      </c>
      <c r="C646" s="208"/>
      <c r="D646" s="208"/>
      <c r="E646" s="208"/>
      <c r="F646" s="208"/>
      <c r="G646" s="203"/>
      <c r="H646" s="203">
        <f t="shared" si="10"/>
        <v>644</v>
      </c>
      <c r="I646" s="208"/>
      <c r="J646" s="208"/>
      <c r="K646" s="351"/>
      <c r="L646" s="351"/>
      <c r="M646" s="208"/>
      <c r="N646" s="208"/>
    </row>
    <row r="647" spans="1:14">
      <c r="A647" s="208"/>
      <c r="B647" s="354">
        <v>645</v>
      </c>
      <c r="C647" s="208"/>
      <c r="D647" s="208"/>
      <c r="E647" s="208"/>
      <c r="F647" s="208"/>
      <c r="G647" s="203"/>
      <c r="H647" s="203">
        <f t="shared" si="10"/>
        <v>645</v>
      </c>
      <c r="I647" s="208"/>
      <c r="J647" s="208"/>
      <c r="K647" s="351"/>
      <c r="L647" s="351"/>
      <c r="M647" s="208"/>
      <c r="N647" s="208"/>
    </row>
    <row r="648" spans="1:14">
      <c r="A648" s="208"/>
      <c r="B648" s="354">
        <v>646</v>
      </c>
      <c r="C648" s="208"/>
      <c r="D648" s="208"/>
      <c r="E648" s="208"/>
      <c r="F648" s="208"/>
      <c r="G648" s="203"/>
      <c r="H648" s="203">
        <f t="shared" si="10"/>
        <v>646</v>
      </c>
      <c r="I648" s="208"/>
      <c r="J648" s="208"/>
      <c r="K648" s="351"/>
      <c r="L648" s="351"/>
      <c r="M648" s="208"/>
      <c r="N648" s="208"/>
    </row>
    <row r="649" spans="1:14">
      <c r="A649" s="208"/>
      <c r="B649" s="354">
        <v>647</v>
      </c>
      <c r="C649" s="208"/>
      <c r="D649" s="208"/>
      <c r="E649" s="208"/>
      <c r="F649" s="208"/>
      <c r="G649" s="203"/>
      <c r="H649" s="203">
        <f t="shared" si="10"/>
        <v>647</v>
      </c>
      <c r="I649" s="208"/>
      <c r="J649" s="208"/>
      <c r="K649" s="351"/>
      <c r="L649" s="351"/>
      <c r="M649" s="208"/>
      <c r="N649" s="208"/>
    </row>
    <row r="650" spans="1:14">
      <c r="A650" s="208"/>
      <c r="B650" s="354">
        <v>648</v>
      </c>
      <c r="C650" s="208"/>
      <c r="D650" s="208"/>
      <c r="E650" s="208"/>
      <c r="F650" s="208"/>
      <c r="G650" s="203"/>
      <c r="H650" s="203">
        <f t="shared" si="10"/>
        <v>648</v>
      </c>
      <c r="I650" s="208"/>
      <c r="J650" s="208"/>
      <c r="K650" s="351"/>
      <c r="L650" s="351"/>
      <c r="M650" s="208"/>
      <c r="N650" s="208"/>
    </row>
    <row r="651" spans="1:14">
      <c r="A651" s="208"/>
      <c r="B651" s="354">
        <v>649</v>
      </c>
      <c r="C651" s="208"/>
      <c r="D651" s="208"/>
      <c r="E651" s="208"/>
      <c r="F651" s="208"/>
      <c r="G651" s="203"/>
      <c r="H651" s="203">
        <f t="shared" si="10"/>
        <v>649</v>
      </c>
      <c r="I651" s="208"/>
      <c r="J651" s="208"/>
      <c r="K651" s="351"/>
      <c r="L651" s="351"/>
      <c r="M651" s="208"/>
      <c r="N651" s="208"/>
    </row>
    <row r="652" spans="1:14">
      <c r="A652" s="208"/>
      <c r="B652" s="354">
        <v>650</v>
      </c>
      <c r="C652" s="208"/>
      <c r="D652" s="208"/>
      <c r="E652" s="208"/>
      <c r="F652" s="208"/>
      <c r="G652" s="203"/>
      <c r="H652" s="203">
        <f t="shared" si="10"/>
        <v>650</v>
      </c>
      <c r="I652" s="208"/>
      <c r="J652" s="208"/>
      <c r="K652" s="351"/>
      <c r="L652" s="351"/>
      <c r="M652" s="208"/>
      <c r="N652" s="208"/>
    </row>
    <row r="653" spans="1:14">
      <c r="A653" s="208"/>
      <c r="B653" s="354">
        <v>651</v>
      </c>
      <c r="C653" s="208"/>
      <c r="D653" s="208"/>
      <c r="E653" s="208"/>
      <c r="F653" s="208"/>
      <c r="G653" s="203"/>
      <c r="H653" s="203">
        <f t="shared" si="10"/>
        <v>651</v>
      </c>
      <c r="I653" s="208"/>
      <c r="J653" s="208"/>
      <c r="K653" s="351"/>
      <c r="L653" s="351"/>
      <c r="M653" s="208"/>
      <c r="N653" s="208"/>
    </row>
    <row r="654" spans="1:14">
      <c r="A654" s="208"/>
      <c r="B654" s="354">
        <v>652</v>
      </c>
      <c r="C654" s="208"/>
      <c r="D654" s="208"/>
      <c r="E654" s="208"/>
      <c r="F654" s="208"/>
      <c r="G654" s="203"/>
      <c r="H654" s="203">
        <f t="shared" si="10"/>
        <v>652</v>
      </c>
      <c r="I654" s="208"/>
      <c r="J654" s="208"/>
      <c r="K654" s="351"/>
      <c r="L654" s="351"/>
      <c r="M654" s="208"/>
      <c r="N654" s="208"/>
    </row>
    <row r="655" spans="1:14">
      <c r="A655" s="208"/>
      <c r="B655" s="354">
        <v>653</v>
      </c>
      <c r="C655" s="208"/>
      <c r="D655" s="208"/>
      <c r="E655" s="208"/>
      <c r="F655" s="208"/>
      <c r="G655" s="203"/>
      <c r="H655" s="203">
        <f t="shared" si="10"/>
        <v>653</v>
      </c>
      <c r="I655" s="208"/>
      <c r="J655" s="208"/>
      <c r="K655" s="351"/>
      <c r="L655" s="351"/>
      <c r="M655" s="208"/>
      <c r="N655" s="208"/>
    </row>
    <row r="656" spans="1:14">
      <c r="A656" s="208"/>
      <c r="B656" s="354">
        <v>654</v>
      </c>
      <c r="C656" s="208"/>
      <c r="D656" s="208"/>
      <c r="E656" s="208"/>
      <c r="F656" s="208"/>
      <c r="G656" s="203"/>
      <c r="H656" s="203">
        <f t="shared" si="10"/>
        <v>654</v>
      </c>
      <c r="I656" s="208"/>
      <c r="J656" s="208"/>
      <c r="K656" s="351"/>
      <c r="L656" s="351"/>
      <c r="M656" s="208"/>
      <c r="N656" s="208"/>
    </row>
    <row r="657" spans="1:14">
      <c r="A657" s="208"/>
      <c r="B657" s="354">
        <v>655</v>
      </c>
      <c r="C657" s="208"/>
      <c r="D657" s="208"/>
      <c r="E657" s="208"/>
      <c r="F657" s="208"/>
      <c r="G657" s="203"/>
      <c r="H657" s="203">
        <f t="shared" si="10"/>
        <v>655</v>
      </c>
      <c r="I657" s="208"/>
      <c r="J657" s="208"/>
      <c r="K657" s="351"/>
      <c r="L657" s="351"/>
      <c r="M657" s="208"/>
      <c r="N657" s="208"/>
    </row>
    <row r="658" spans="1:14">
      <c r="A658" s="208"/>
      <c r="B658" s="354">
        <v>656</v>
      </c>
      <c r="C658" s="208"/>
      <c r="D658" s="208"/>
      <c r="E658" s="208"/>
      <c r="F658" s="208"/>
      <c r="G658" s="203"/>
      <c r="H658" s="203">
        <f t="shared" si="10"/>
        <v>656</v>
      </c>
      <c r="I658" s="208"/>
      <c r="J658" s="208"/>
      <c r="K658" s="351"/>
      <c r="L658" s="351"/>
      <c r="M658" s="208"/>
      <c r="N658" s="208"/>
    </row>
    <row r="659" spans="1:14">
      <c r="A659" s="208"/>
      <c r="B659" s="354">
        <v>657</v>
      </c>
      <c r="C659" s="208"/>
      <c r="D659" s="208"/>
      <c r="E659" s="208"/>
      <c r="F659" s="208"/>
      <c r="G659" s="203"/>
      <c r="H659" s="203">
        <f t="shared" si="10"/>
        <v>657</v>
      </c>
      <c r="I659" s="208"/>
      <c r="J659" s="208"/>
      <c r="K659" s="351"/>
      <c r="L659" s="351"/>
      <c r="M659" s="208"/>
      <c r="N659" s="208"/>
    </row>
    <row r="660" spans="1:14">
      <c r="A660" s="208"/>
      <c r="B660" s="354">
        <v>658</v>
      </c>
      <c r="C660" s="208"/>
      <c r="D660" s="208"/>
      <c r="E660" s="208"/>
      <c r="F660" s="208"/>
      <c r="G660" s="203"/>
      <c r="H660" s="203">
        <f t="shared" si="10"/>
        <v>658</v>
      </c>
      <c r="I660" s="208"/>
      <c r="J660" s="208"/>
      <c r="K660" s="351"/>
      <c r="L660" s="351"/>
      <c r="M660" s="208"/>
      <c r="N660" s="208"/>
    </row>
    <row r="661" spans="1:14">
      <c r="A661" s="208"/>
      <c r="B661" s="354">
        <v>659</v>
      </c>
      <c r="C661" s="208"/>
      <c r="D661" s="208"/>
      <c r="E661" s="208"/>
      <c r="F661" s="208"/>
      <c r="G661" s="203"/>
      <c r="H661" s="203">
        <f t="shared" si="10"/>
        <v>659</v>
      </c>
      <c r="I661" s="208"/>
      <c r="J661" s="208"/>
      <c r="K661" s="351"/>
      <c r="L661" s="351"/>
      <c r="M661" s="208"/>
      <c r="N661" s="208"/>
    </row>
    <row r="662" spans="1:14">
      <c r="A662" s="208"/>
      <c r="B662" s="354">
        <v>660</v>
      </c>
      <c r="C662" s="208"/>
      <c r="D662" s="208"/>
      <c r="E662" s="208"/>
      <c r="F662" s="208"/>
      <c r="G662" s="203"/>
      <c r="H662" s="203">
        <f t="shared" si="10"/>
        <v>660</v>
      </c>
      <c r="I662" s="208"/>
      <c r="J662" s="208"/>
      <c r="K662" s="351"/>
      <c r="L662" s="351"/>
      <c r="M662" s="208"/>
      <c r="N662" s="208"/>
    </row>
    <row r="663" spans="1:14">
      <c r="A663" s="208"/>
      <c r="B663" s="354">
        <v>661</v>
      </c>
      <c r="C663" s="208"/>
      <c r="D663" s="208"/>
      <c r="E663" s="208"/>
      <c r="F663" s="208"/>
      <c r="G663" s="203"/>
      <c r="H663" s="203">
        <f t="shared" si="10"/>
        <v>661</v>
      </c>
      <c r="I663" s="208"/>
      <c r="J663" s="208"/>
      <c r="K663" s="351"/>
      <c r="L663" s="351"/>
      <c r="M663" s="208"/>
      <c r="N663" s="208"/>
    </row>
    <row r="664" spans="1:14">
      <c r="A664" s="208"/>
      <c r="B664" s="354">
        <v>662</v>
      </c>
      <c r="C664" s="208"/>
      <c r="D664" s="208"/>
      <c r="E664" s="208"/>
      <c r="F664" s="208"/>
      <c r="G664" s="203"/>
      <c r="H664" s="203">
        <f t="shared" si="10"/>
        <v>662</v>
      </c>
      <c r="I664" s="208"/>
      <c r="J664" s="208"/>
      <c r="K664" s="351"/>
      <c r="L664" s="351"/>
      <c r="M664" s="208"/>
      <c r="N664" s="208"/>
    </row>
    <row r="665" spans="1:14">
      <c r="A665" s="208"/>
      <c r="B665" s="354">
        <v>663</v>
      </c>
      <c r="C665" s="208"/>
      <c r="D665" s="208"/>
      <c r="E665" s="208"/>
      <c r="F665" s="208"/>
      <c r="G665" s="203"/>
      <c r="H665" s="203">
        <f t="shared" si="10"/>
        <v>663</v>
      </c>
      <c r="I665" s="208"/>
      <c r="J665" s="208"/>
      <c r="K665" s="351"/>
      <c r="L665" s="351"/>
      <c r="M665" s="208"/>
      <c r="N665" s="208"/>
    </row>
    <row r="666" spans="1:14">
      <c r="A666" s="208"/>
      <c r="B666" s="354">
        <v>664</v>
      </c>
      <c r="C666" s="208"/>
      <c r="D666" s="208"/>
      <c r="E666" s="208"/>
      <c r="F666" s="208"/>
      <c r="G666" s="203"/>
      <c r="H666" s="203">
        <f t="shared" si="10"/>
        <v>664</v>
      </c>
      <c r="I666" s="208"/>
      <c r="J666" s="208"/>
      <c r="K666" s="351"/>
      <c r="L666" s="351"/>
      <c r="M666" s="208"/>
      <c r="N666" s="208"/>
    </row>
    <row r="667" spans="1:14">
      <c r="A667" s="208"/>
      <c r="B667" s="354">
        <v>665</v>
      </c>
      <c r="C667" s="208"/>
      <c r="D667" s="208"/>
      <c r="E667" s="208"/>
      <c r="F667" s="208"/>
      <c r="G667" s="203"/>
      <c r="H667" s="203">
        <f t="shared" si="10"/>
        <v>665</v>
      </c>
      <c r="I667" s="208"/>
      <c r="J667" s="208"/>
      <c r="K667" s="351"/>
      <c r="L667" s="351"/>
      <c r="M667" s="208"/>
      <c r="N667" s="208"/>
    </row>
    <row r="668" spans="1:14">
      <c r="A668" s="208"/>
      <c r="B668" s="354">
        <v>666</v>
      </c>
      <c r="C668" s="208"/>
      <c r="D668" s="208"/>
      <c r="E668" s="208"/>
      <c r="F668" s="208"/>
      <c r="G668" s="203"/>
      <c r="H668" s="203">
        <f t="shared" si="10"/>
        <v>666</v>
      </c>
      <c r="I668" s="208"/>
      <c r="J668" s="208"/>
      <c r="K668" s="351"/>
      <c r="L668" s="351"/>
      <c r="M668" s="208"/>
      <c r="N668" s="208"/>
    </row>
    <row r="669" spans="1:14">
      <c r="A669" s="208"/>
      <c r="B669" s="354">
        <v>667</v>
      </c>
      <c r="C669" s="208"/>
      <c r="D669" s="208"/>
      <c r="E669" s="208"/>
      <c r="F669" s="208"/>
      <c r="G669" s="203"/>
      <c r="H669" s="203">
        <f t="shared" si="10"/>
        <v>667</v>
      </c>
      <c r="I669" s="208"/>
      <c r="J669" s="208"/>
      <c r="K669" s="351"/>
      <c r="L669" s="351"/>
      <c r="M669" s="208"/>
      <c r="N669" s="208"/>
    </row>
    <row r="670" spans="1:14">
      <c r="A670" s="208"/>
      <c r="B670" s="354">
        <v>668</v>
      </c>
      <c r="C670" s="208"/>
      <c r="D670" s="208"/>
      <c r="E670" s="208"/>
      <c r="F670" s="208"/>
      <c r="G670" s="203"/>
      <c r="H670" s="203">
        <f t="shared" si="10"/>
        <v>668</v>
      </c>
      <c r="I670" s="208"/>
      <c r="J670" s="208"/>
      <c r="K670" s="351"/>
      <c r="L670" s="351"/>
      <c r="M670" s="208"/>
      <c r="N670" s="208"/>
    </row>
    <row r="671" spans="1:14">
      <c r="A671" s="208"/>
      <c r="B671" s="354">
        <v>669</v>
      </c>
      <c r="C671" s="208"/>
      <c r="D671" s="208"/>
      <c r="E671" s="208"/>
      <c r="F671" s="208"/>
      <c r="G671" s="203"/>
      <c r="H671" s="203">
        <f t="shared" si="10"/>
        <v>669</v>
      </c>
      <c r="I671" s="208"/>
      <c r="J671" s="208"/>
      <c r="K671" s="351"/>
      <c r="L671" s="351"/>
      <c r="M671" s="208"/>
      <c r="N671" s="208"/>
    </row>
    <row r="672" spans="1:14">
      <c r="A672" s="208"/>
      <c r="B672" s="354">
        <v>670</v>
      </c>
      <c r="C672" s="208"/>
      <c r="D672" s="208"/>
      <c r="E672" s="208"/>
      <c r="F672" s="208"/>
      <c r="G672" s="203"/>
      <c r="H672" s="203">
        <f t="shared" si="10"/>
        <v>670</v>
      </c>
      <c r="I672" s="208"/>
      <c r="J672" s="208"/>
      <c r="K672" s="351"/>
      <c r="L672" s="351"/>
      <c r="M672" s="208"/>
      <c r="N672" s="208"/>
    </row>
    <row r="673" spans="1:14">
      <c r="A673" s="208"/>
      <c r="B673" s="354">
        <v>671</v>
      </c>
      <c r="C673" s="208"/>
      <c r="D673" s="208"/>
      <c r="E673" s="208"/>
      <c r="F673" s="208"/>
      <c r="G673" s="203"/>
      <c r="H673" s="203">
        <f t="shared" si="10"/>
        <v>671</v>
      </c>
      <c r="I673" s="208"/>
      <c r="J673" s="208"/>
      <c r="K673" s="351"/>
      <c r="L673" s="351"/>
      <c r="M673" s="208"/>
      <c r="N673" s="208"/>
    </row>
    <row r="674" spans="1:14">
      <c r="A674" s="208"/>
      <c r="B674" s="354">
        <v>672</v>
      </c>
      <c r="C674" s="208"/>
      <c r="D674" s="208"/>
      <c r="E674" s="208"/>
      <c r="F674" s="208"/>
      <c r="G674" s="203"/>
      <c r="H674" s="203">
        <f t="shared" si="10"/>
        <v>672</v>
      </c>
      <c r="I674" s="208"/>
      <c r="J674" s="208"/>
      <c r="K674" s="351"/>
      <c r="L674" s="351"/>
      <c r="M674" s="208"/>
      <c r="N674" s="208"/>
    </row>
    <row r="675" spans="1:14">
      <c r="A675" s="208"/>
      <c r="B675" s="354">
        <v>673</v>
      </c>
      <c r="C675" s="208"/>
      <c r="D675" s="208"/>
      <c r="E675" s="208"/>
      <c r="F675" s="208"/>
      <c r="G675" s="203"/>
      <c r="H675" s="203">
        <f t="shared" si="10"/>
        <v>673</v>
      </c>
      <c r="I675" s="208"/>
      <c r="J675" s="208"/>
      <c r="K675" s="351"/>
      <c r="L675" s="351"/>
      <c r="M675" s="208"/>
      <c r="N675" s="208"/>
    </row>
    <row r="676" spans="1:14">
      <c r="A676" s="208"/>
      <c r="B676" s="354">
        <v>674</v>
      </c>
      <c r="C676" s="208"/>
      <c r="D676" s="208"/>
      <c r="E676" s="208"/>
      <c r="F676" s="208"/>
      <c r="G676" s="203"/>
      <c r="H676" s="203">
        <f t="shared" si="10"/>
        <v>674</v>
      </c>
      <c r="I676" s="208"/>
      <c r="J676" s="208"/>
      <c r="K676" s="351"/>
      <c r="L676" s="351"/>
      <c r="M676" s="208"/>
      <c r="N676" s="208"/>
    </row>
    <row r="677" spans="1:14">
      <c r="A677" s="208"/>
      <c r="B677" s="354">
        <v>675</v>
      </c>
      <c r="C677" s="208"/>
      <c r="D677" s="208"/>
      <c r="E677" s="208"/>
      <c r="F677" s="208"/>
      <c r="G677" s="203"/>
      <c r="H677" s="203">
        <f t="shared" si="10"/>
        <v>675</v>
      </c>
      <c r="I677" s="208"/>
      <c r="J677" s="208"/>
      <c r="K677" s="351"/>
      <c r="L677" s="351"/>
      <c r="M677" s="208"/>
      <c r="N677" s="208"/>
    </row>
    <row r="678" spans="1:14">
      <c r="A678" s="208"/>
      <c r="B678" s="354">
        <v>676</v>
      </c>
      <c r="C678" s="208"/>
      <c r="D678" s="208"/>
      <c r="E678" s="208"/>
      <c r="F678" s="208"/>
      <c r="G678" s="203"/>
      <c r="H678" s="203">
        <f t="shared" si="10"/>
        <v>676</v>
      </c>
      <c r="I678" s="208"/>
      <c r="J678" s="208"/>
      <c r="K678" s="351"/>
      <c r="L678" s="351"/>
      <c r="M678" s="208"/>
      <c r="N678" s="208"/>
    </row>
    <row r="679" spans="1:14">
      <c r="A679" s="208"/>
      <c r="B679" s="354">
        <v>677</v>
      </c>
      <c r="C679" s="208"/>
      <c r="D679" s="208"/>
      <c r="E679" s="208"/>
      <c r="F679" s="208"/>
      <c r="G679" s="203"/>
      <c r="H679" s="203">
        <f t="shared" si="10"/>
        <v>677</v>
      </c>
      <c r="I679" s="208"/>
      <c r="J679" s="208"/>
      <c r="K679" s="351"/>
      <c r="L679" s="351"/>
      <c r="M679" s="208"/>
      <c r="N679" s="208"/>
    </row>
    <row r="680" spans="1:14">
      <c r="A680" s="208"/>
      <c r="B680" s="354">
        <v>678</v>
      </c>
      <c r="C680" s="208"/>
      <c r="D680" s="208"/>
      <c r="E680" s="208"/>
      <c r="F680" s="208"/>
      <c r="G680" s="203"/>
      <c r="H680" s="203">
        <f t="shared" si="10"/>
        <v>678</v>
      </c>
      <c r="I680" s="208"/>
      <c r="J680" s="208"/>
      <c r="K680" s="351"/>
      <c r="L680" s="351"/>
      <c r="M680" s="208"/>
      <c r="N680" s="208"/>
    </row>
    <row r="681" spans="1:14">
      <c r="A681" s="208"/>
      <c r="B681" s="354">
        <v>679</v>
      </c>
      <c r="C681" s="208"/>
      <c r="D681" s="208"/>
      <c r="E681" s="208"/>
      <c r="F681" s="208"/>
      <c r="G681" s="203"/>
      <c r="H681" s="203">
        <f t="shared" si="10"/>
        <v>679</v>
      </c>
      <c r="I681" s="208"/>
      <c r="J681" s="208"/>
      <c r="K681" s="351"/>
      <c r="L681" s="351"/>
      <c r="M681" s="208"/>
      <c r="N681" s="208"/>
    </row>
    <row r="682" spans="1:14">
      <c r="A682" s="208"/>
      <c r="B682" s="354">
        <v>680</v>
      </c>
      <c r="C682" s="208"/>
      <c r="D682" s="208"/>
      <c r="E682" s="208"/>
      <c r="F682" s="208"/>
      <c r="G682" s="203"/>
      <c r="H682" s="203">
        <f t="shared" si="10"/>
        <v>680</v>
      </c>
      <c r="I682" s="208"/>
      <c r="J682" s="208"/>
      <c r="K682" s="351"/>
      <c r="L682" s="351"/>
      <c r="M682" s="208"/>
      <c r="N682" s="208"/>
    </row>
    <row r="683" spans="1:14">
      <c r="A683" s="208"/>
      <c r="B683" s="354">
        <v>681</v>
      </c>
      <c r="C683" s="208"/>
      <c r="D683" s="208"/>
      <c r="E683" s="208"/>
      <c r="F683" s="208"/>
      <c r="G683" s="203"/>
      <c r="H683" s="203">
        <f t="shared" si="10"/>
        <v>681</v>
      </c>
      <c r="I683" s="208"/>
      <c r="J683" s="208"/>
      <c r="K683" s="351"/>
      <c r="L683" s="351"/>
      <c r="M683" s="208"/>
      <c r="N683" s="208"/>
    </row>
    <row r="684" spans="1:14">
      <c r="A684" s="208"/>
      <c r="B684" s="354">
        <v>682</v>
      </c>
      <c r="C684" s="208"/>
      <c r="D684" s="208"/>
      <c r="E684" s="208"/>
      <c r="F684" s="208"/>
      <c r="G684" s="203"/>
      <c r="H684" s="203">
        <f t="shared" si="10"/>
        <v>682</v>
      </c>
      <c r="I684" s="208"/>
      <c r="J684" s="208"/>
      <c r="K684" s="351"/>
      <c r="L684" s="351"/>
      <c r="M684" s="208"/>
      <c r="N684" s="208"/>
    </row>
    <row r="685" spans="1:14">
      <c r="A685" s="208"/>
      <c r="B685" s="354">
        <v>683</v>
      </c>
      <c r="C685" s="208"/>
      <c r="D685" s="208"/>
      <c r="E685" s="208"/>
      <c r="F685" s="208"/>
      <c r="G685" s="203"/>
      <c r="H685" s="203">
        <f t="shared" si="10"/>
        <v>683</v>
      </c>
      <c r="I685" s="208"/>
      <c r="J685" s="208"/>
      <c r="K685" s="351"/>
      <c r="L685" s="351"/>
      <c r="M685" s="208"/>
      <c r="N685" s="208"/>
    </row>
    <row r="686" spans="1:14">
      <c r="A686" s="208"/>
      <c r="B686" s="354">
        <v>684</v>
      </c>
      <c r="C686" s="208"/>
      <c r="D686" s="208"/>
      <c r="E686" s="208"/>
      <c r="F686" s="208"/>
      <c r="G686" s="203"/>
      <c r="H686" s="203">
        <f t="shared" si="10"/>
        <v>684</v>
      </c>
      <c r="I686" s="208"/>
      <c r="J686" s="208"/>
      <c r="K686" s="351"/>
      <c r="L686" s="351"/>
      <c r="M686" s="208"/>
      <c r="N686" s="208"/>
    </row>
    <row r="687" spans="1:14">
      <c r="A687" s="208"/>
      <c r="B687" s="354">
        <v>685</v>
      </c>
      <c r="C687" s="208"/>
      <c r="D687" s="208"/>
      <c r="E687" s="208"/>
      <c r="F687" s="208"/>
      <c r="G687" s="203"/>
      <c r="H687" s="203">
        <f t="shared" si="10"/>
        <v>685</v>
      </c>
      <c r="I687" s="208"/>
      <c r="J687" s="208"/>
      <c r="K687" s="351"/>
      <c r="L687" s="351"/>
      <c r="M687" s="208"/>
      <c r="N687" s="208"/>
    </row>
    <row r="688" spans="1:14">
      <c r="A688" s="208"/>
      <c r="B688" s="354">
        <v>686</v>
      </c>
      <c r="C688" s="208"/>
      <c r="D688" s="208"/>
      <c r="E688" s="208"/>
      <c r="F688" s="208"/>
      <c r="G688" s="203"/>
      <c r="H688" s="203">
        <f t="shared" si="10"/>
        <v>686</v>
      </c>
      <c r="I688" s="208"/>
      <c r="J688" s="208"/>
      <c r="K688" s="351"/>
      <c r="L688" s="351"/>
      <c r="M688" s="208"/>
      <c r="N688" s="208"/>
    </row>
    <row r="689" spans="1:14">
      <c r="A689" s="208"/>
      <c r="B689" s="354">
        <v>687</v>
      </c>
      <c r="C689" s="208"/>
      <c r="D689" s="208"/>
      <c r="E689" s="208"/>
      <c r="F689" s="208"/>
      <c r="G689" s="203"/>
      <c r="H689" s="203">
        <f t="shared" si="10"/>
        <v>687</v>
      </c>
      <c r="I689" s="208"/>
      <c r="J689" s="208"/>
      <c r="K689" s="351"/>
      <c r="L689" s="351"/>
      <c r="M689" s="208"/>
      <c r="N689" s="208"/>
    </row>
    <row r="690" spans="1:14">
      <c r="A690" s="208"/>
      <c r="B690" s="354">
        <v>688</v>
      </c>
      <c r="C690" s="208"/>
      <c r="D690" s="208"/>
      <c r="E690" s="208"/>
      <c r="F690" s="208"/>
      <c r="G690" s="203"/>
      <c r="H690" s="203">
        <f t="shared" si="10"/>
        <v>688</v>
      </c>
      <c r="I690" s="208"/>
      <c r="J690" s="208"/>
      <c r="K690" s="351"/>
      <c r="L690" s="351"/>
      <c r="M690" s="208"/>
      <c r="N690" s="208"/>
    </row>
    <row r="691" spans="1:14">
      <c r="A691" s="208"/>
      <c r="B691" s="354">
        <v>689</v>
      </c>
      <c r="C691" s="208"/>
      <c r="D691" s="208"/>
      <c r="E691" s="208"/>
      <c r="F691" s="208"/>
      <c r="G691" s="203"/>
      <c r="H691" s="203">
        <f t="shared" si="10"/>
        <v>689</v>
      </c>
      <c r="I691" s="208"/>
      <c r="J691" s="208"/>
      <c r="K691" s="351"/>
      <c r="L691" s="351"/>
      <c r="M691" s="208"/>
      <c r="N691" s="208"/>
    </row>
    <row r="692" spans="1:14">
      <c r="A692" s="208"/>
      <c r="B692" s="354">
        <v>690</v>
      </c>
      <c r="C692" s="208"/>
      <c r="D692" s="208"/>
      <c r="E692" s="208"/>
      <c r="F692" s="208"/>
      <c r="G692" s="203"/>
      <c r="H692" s="203">
        <f t="shared" si="10"/>
        <v>690</v>
      </c>
      <c r="I692" s="208"/>
      <c r="J692" s="208"/>
      <c r="K692" s="351"/>
      <c r="L692" s="351"/>
      <c r="M692" s="208"/>
      <c r="N692" s="208"/>
    </row>
    <row r="693" spans="1:14">
      <c r="A693" s="208"/>
      <c r="B693" s="354">
        <v>691</v>
      </c>
      <c r="C693" s="208"/>
      <c r="D693" s="208"/>
      <c r="E693" s="208"/>
      <c r="F693" s="208"/>
      <c r="G693" s="203"/>
      <c r="H693" s="203">
        <f t="shared" si="10"/>
        <v>691</v>
      </c>
      <c r="I693" s="208"/>
      <c r="J693" s="208"/>
      <c r="K693" s="351"/>
      <c r="L693" s="351"/>
      <c r="M693" s="208"/>
      <c r="N693" s="208"/>
    </row>
    <row r="694" spans="1:14">
      <c r="A694" s="208"/>
      <c r="B694" s="354">
        <v>692</v>
      </c>
      <c r="C694" s="208"/>
      <c r="D694" s="208"/>
      <c r="E694" s="208"/>
      <c r="F694" s="208"/>
      <c r="G694" s="203"/>
      <c r="H694" s="203">
        <f t="shared" si="10"/>
        <v>692</v>
      </c>
      <c r="I694" s="208"/>
      <c r="J694" s="208"/>
      <c r="K694" s="351"/>
      <c r="L694" s="351"/>
      <c r="M694" s="208"/>
      <c r="N694" s="208"/>
    </row>
    <row r="695" spans="1:14">
      <c r="A695" s="208"/>
      <c r="B695" s="354">
        <v>693</v>
      </c>
      <c r="C695" s="208"/>
      <c r="D695" s="208"/>
      <c r="E695" s="208"/>
      <c r="F695" s="208"/>
      <c r="G695" s="203"/>
      <c r="H695" s="203">
        <f t="shared" si="10"/>
        <v>693</v>
      </c>
      <c r="I695" s="208"/>
      <c r="J695" s="208"/>
      <c r="K695" s="351"/>
      <c r="L695" s="351"/>
      <c r="M695" s="208"/>
      <c r="N695" s="208"/>
    </row>
    <row r="696" spans="1:14">
      <c r="A696" s="208"/>
      <c r="B696" s="354">
        <v>694</v>
      </c>
      <c r="C696" s="208"/>
      <c r="D696" s="208"/>
      <c r="E696" s="208"/>
      <c r="F696" s="208"/>
      <c r="G696" s="203"/>
      <c r="H696" s="203">
        <f t="shared" si="10"/>
        <v>694</v>
      </c>
      <c r="I696" s="208"/>
      <c r="J696" s="208"/>
      <c r="K696" s="351"/>
      <c r="L696" s="351"/>
      <c r="M696" s="208"/>
      <c r="N696" s="208"/>
    </row>
    <row r="697" spans="1:14">
      <c r="A697" s="208"/>
      <c r="B697" s="354">
        <v>695</v>
      </c>
      <c r="C697" s="208"/>
      <c r="D697" s="208"/>
      <c r="E697" s="208"/>
      <c r="F697" s="208"/>
      <c r="G697" s="203"/>
      <c r="H697" s="203">
        <f t="shared" si="10"/>
        <v>695</v>
      </c>
      <c r="I697" s="208"/>
      <c r="J697" s="208"/>
      <c r="K697" s="351"/>
      <c r="L697" s="351"/>
      <c r="M697" s="208"/>
      <c r="N697" s="208"/>
    </row>
    <row r="698" spans="1:14">
      <c r="A698" s="208"/>
      <c r="B698" s="354">
        <v>696</v>
      </c>
      <c r="C698" s="208"/>
      <c r="D698" s="208"/>
      <c r="E698" s="208"/>
      <c r="F698" s="208"/>
      <c r="G698" s="203"/>
      <c r="H698" s="203">
        <f t="shared" si="10"/>
        <v>696</v>
      </c>
      <c r="I698" s="208"/>
      <c r="J698" s="208"/>
      <c r="K698" s="351"/>
      <c r="L698" s="351"/>
      <c r="M698" s="208"/>
      <c r="N698" s="208"/>
    </row>
    <row r="699" spans="1:14">
      <c r="A699" s="208"/>
      <c r="B699" s="354">
        <v>697</v>
      </c>
      <c r="C699" s="208"/>
      <c r="D699" s="208"/>
      <c r="E699" s="208"/>
      <c r="F699" s="208"/>
      <c r="G699" s="203"/>
      <c r="H699" s="203">
        <f t="shared" si="10"/>
        <v>697</v>
      </c>
      <c r="I699" s="208"/>
      <c r="J699" s="208"/>
      <c r="K699" s="351"/>
      <c r="L699" s="351"/>
      <c r="M699" s="208"/>
      <c r="N699" s="208"/>
    </row>
    <row r="700" spans="1:14">
      <c r="A700" s="208"/>
      <c r="B700" s="354">
        <v>698</v>
      </c>
      <c r="C700" s="208"/>
      <c r="D700" s="208"/>
      <c r="E700" s="208"/>
      <c r="F700" s="208"/>
      <c r="G700" s="203"/>
      <c r="H700" s="203">
        <f t="shared" si="10"/>
        <v>698</v>
      </c>
      <c r="I700" s="208"/>
      <c r="J700" s="208"/>
      <c r="K700" s="351"/>
      <c r="L700" s="351"/>
      <c r="M700" s="208"/>
      <c r="N700" s="208"/>
    </row>
    <row r="701" spans="1:14">
      <c r="A701" s="208"/>
      <c r="B701" s="354">
        <v>699</v>
      </c>
      <c r="C701" s="208"/>
      <c r="D701" s="208"/>
      <c r="E701" s="208"/>
      <c r="F701" s="208"/>
      <c r="G701" s="203"/>
      <c r="H701" s="203">
        <f t="shared" si="10"/>
        <v>699</v>
      </c>
      <c r="I701" s="208"/>
      <c r="J701" s="208"/>
      <c r="K701" s="351"/>
      <c r="L701" s="351"/>
      <c r="M701" s="208"/>
      <c r="N701" s="208"/>
    </row>
    <row r="702" spans="1:14">
      <c r="A702" s="208"/>
      <c r="B702" s="354">
        <v>700</v>
      </c>
      <c r="C702" s="208"/>
      <c r="D702" s="208"/>
      <c r="E702" s="208"/>
      <c r="F702" s="208"/>
      <c r="G702" s="203"/>
      <c r="H702" s="203">
        <f t="shared" si="10"/>
        <v>700</v>
      </c>
      <c r="I702" s="208"/>
      <c r="J702" s="208"/>
      <c r="K702" s="351"/>
      <c r="L702" s="351"/>
      <c r="M702" s="208"/>
      <c r="N702" s="208"/>
    </row>
  </sheetData>
  <sheetProtection algorithmName="SHA-512" hashValue="CXLzC4rSgLr/lCQiJMWtnk4nKyQDS0glJtCZEgYzmwrLJRLkznlaT5VYCjoL/TE4yUd5f4VbQ6bPztRqleQXKw==" saltValue="bdvCvOwW+WE/eHYxWXtcRw==" spinCount="100000" sheet="1" objects="1" scenarios="1"/>
  <autoFilter ref="B2:N702"/>
  <phoneticPr fontId="0" type="noConversion"/>
  <hyperlinks>
    <hyperlink ref="N3" r:id="rId1"/>
    <hyperlink ref="N240" r:id="rId2"/>
    <hyperlink ref="N514" r:id="rId3"/>
  </hyperlinks>
  <pageMargins left="0.78740157499999996" right="0.78740157499999996" top="0.984251969" bottom="0.984251969" header="0.4921259845" footer="0.4921259845"/>
  <pageSetup paperSize="9" orientation="portrait" r:id="rId4"/>
  <headerFooter alignWithMargins="0"/>
  <legacy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Z440"/>
  <sheetViews>
    <sheetView topLeftCell="A211" workbookViewId="0">
      <selection activeCell="K236" sqref="K236"/>
    </sheetView>
  </sheetViews>
  <sheetFormatPr baseColWidth="10" defaultRowHeight="12.75"/>
  <cols>
    <col min="1" max="1" width="7" style="9" customWidth="1"/>
    <col min="2" max="2" width="29.140625" style="9" customWidth="1"/>
    <col min="3" max="3" width="9.140625" style="9" customWidth="1"/>
    <col min="4" max="4" width="10.5703125" style="9" customWidth="1"/>
    <col min="5" max="5" width="11.7109375" style="9" customWidth="1"/>
    <col min="6" max="6" width="10.5703125" style="9" customWidth="1"/>
    <col min="7" max="7" width="7.5703125" style="9" customWidth="1"/>
    <col min="8" max="8" width="5.85546875" style="9" customWidth="1"/>
    <col min="9" max="9" width="10.5703125" style="9" customWidth="1"/>
    <col min="10" max="10" width="14.28515625" style="9" customWidth="1"/>
    <col min="11" max="11" width="29.28515625" style="9" customWidth="1"/>
    <col min="12" max="12" width="11.42578125" style="9"/>
    <col min="13" max="13" width="11.85546875" style="9" customWidth="1"/>
    <col min="14" max="14" width="6.42578125" style="9" customWidth="1"/>
    <col min="15" max="15" width="7" style="9" customWidth="1"/>
    <col min="16" max="16" width="11.85546875" style="9" customWidth="1"/>
    <col min="17" max="17" width="13.28515625" style="9" customWidth="1"/>
    <col min="18" max="18" width="13.140625" style="9" customWidth="1"/>
    <col min="19" max="26" width="8.7109375" style="9" customWidth="1"/>
    <col min="27" max="16384" width="11.42578125" style="9"/>
  </cols>
  <sheetData>
    <row r="2" spans="1:26" ht="36.950000000000003" customHeight="1">
      <c r="A2" s="455" t="s">
        <v>1558</v>
      </c>
      <c r="B2" s="455"/>
      <c r="C2" s="455"/>
      <c r="D2" s="455"/>
      <c r="E2" s="455"/>
      <c r="F2" s="455"/>
      <c r="G2" s="455"/>
      <c r="H2" s="455"/>
      <c r="I2" s="455"/>
      <c r="J2" s="455"/>
      <c r="K2" s="455"/>
      <c r="L2" s="328"/>
      <c r="M2" s="328"/>
      <c r="N2" s="328"/>
      <c r="O2" s="328"/>
      <c r="P2" s="329" t="s">
        <v>1306</v>
      </c>
      <c r="Q2" s="329" t="s">
        <v>1312</v>
      </c>
      <c r="R2" s="330" t="s">
        <v>1313</v>
      </c>
    </row>
    <row r="3" spans="1:26" ht="20.100000000000001" customHeight="1">
      <c r="A3" s="10" t="s">
        <v>1315</v>
      </c>
      <c r="B3" s="10" t="s">
        <v>1307</v>
      </c>
      <c r="C3" s="10" t="s">
        <v>1301</v>
      </c>
      <c r="D3" s="10" t="s">
        <v>1302</v>
      </c>
      <c r="E3" s="331" t="s">
        <v>1303</v>
      </c>
      <c r="F3" s="10" t="s">
        <v>1310</v>
      </c>
      <c r="G3" s="10" t="s">
        <v>1314</v>
      </c>
      <c r="H3" s="10" t="s">
        <v>1306</v>
      </c>
      <c r="I3" s="10" t="s">
        <v>1309</v>
      </c>
      <c r="J3" s="10" t="s">
        <v>1304</v>
      </c>
      <c r="K3" s="10" t="s">
        <v>1305</v>
      </c>
      <c r="M3" s="332" t="s">
        <v>817</v>
      </c>
      <c r="N3" s="333">
        <v>42736</v>
      </c>
      <c r="O3" s="333">
        <v>42766</v>
      </c>
      <c r="P3" s="334">
        <f>SUMPRODUCT((D4:D93&gt;=N3)*(D4:D93&lt;=O3)*(H4:H93="oui")*E4:E93)</f>
        <v>0</v>
      </c>
      <c r="Q3" s="335">
        <f>R3-P3</f>
        <v>0</v>
      </c>
      <c r="R3" s="336">
        <f>SUMPRODUCT((D4:D93&gt;=N3)*(D4:D93&lt;=O3)*E4:E93)</f>
        <v>0</v>
      </c>
      <c r="S3" s="337"/>
      <c r="T3" s="338"/>
      <c r="U3" s="337"/>
      <c r="V3" s="338"/>
      <c r="W3" s="337"/>
      <c r="X3" s="338"/>
      <c r="Y3" s="337"/>
      <c r="Z3" s="338"/>
    </row>
    <row r="4" spans="1:26" ht="12.75" customHeight="1">
      <c r="A4" s="174"/>
      <c r="B4" s="329" t="str">
        <f>IF(A4="","",CONCATENATE(VLOOKUP(A4,Clients!B$3:K$702,2),VLOOKUP(A4,Clients!B$3:K$702,3,)))</f>
        <v/>
      </c>
      <c r="C4" s="36" t="s">
        <v>1560</v>
      </c>
      <c r="D4" s="38"/>
      <c r="E4" s="339"/>
      <c r="F4" s="38" t="str">
        <f>IF(D4="","",D4+30)</f>
        <v/>
      </c>
      <c r="G4" s="34" t="str">
        <f>IF(H4="oui",I4-D4,"")</f>
        <v/>
      </c>
      <c r="H4" s="340" t="str">
        <f>IF(I4="","","oui")</f>
        <v/>
      </c>
      <c r="I4" s="38"/>
      <c r="J4" s="37" t="str">
        <f>IF(A4="","",CONCATENATE(VLOOKUP(A4,Clients!B$3:K$702,9)))</f>
        <v/>
      </c>
      <c r="K4" s="317"/>
      <c r="M4" s="341" t="s">
        <v>1311</v>
      </c>
      <c r="N4" s="342">
        <v>42767</v>
      </c>
      <c r="O4" s="342" t="s">
        <v>1559</v>
      </c>
      <c r="P4" s="334">
        <f>SUMPRODUCT((D4:D93&gt;=N4)*(D4:D93&lt;=O4)*(H4:H93="oui")*E4:E93)</f>
        <v>0</v>
      </c>
      <c r="Q4" s="335">
        <f t="shared" ref="Q4:Q14" si="0">R4-P4</f>
        <v>0</v>
      </c>
      <c r="R4" s="336">
        <f>SUMPRODUCT((D4:D93&gt;=N4)*(D4:D93&lt;=O4)*E4:E93)</f>
        <v>0</v>
      </c>
      <c r="S4" s="8"/>
      <c r="T4" s="8"/>
      <c r="U4" s="8"/>
      <c r="V4" s="8"/>
      <c r="W4" s="8"/>
      <c r="X4" s="8"/>
      <c r="Y4" s="8"/>
      <c r="Z4" s="8"/>
    </row>
    <row r="5" spans="1:26" ht="12.75" customHeight="1">
      <c r="A5" s="174"/>
      <c r="B5" s="329" t="str">
        <f>IF(A5="","",CONCATENATE(VLOOKUP(A5,Clients!B$3:K$702,2),VLOOKUP(A5,Clients!B$3:K$702,3,)))</f>
        <v/>
      </c>
      <c r="C5" s="36" t="s">
        <v>1561</v>
      </c>
      <c r="D5" s="38"/>
      <c r="E5" s="339"/>
      <c r="F5" s="38" t="str">
        <f t="shared" ref="F5:F68" si="1">IF(D5="","",D5+30)</f>
        <v/>
      </c>
      <c r="G5" s="34" t="str">
        <f t="shared" ref="G5:G68" si="2">IF(H5="oui",I5-D5,"")</f>
        <v/>
      </c>
      <c r="H5" s="340" t="str">
        <f t="shared" ref="H5:H68" si="3">IF(I5="","","oui")</f>
        <v/>
      </c>
      <c r="I5" s="38"/>
      <c r="J5" s="37" t="str">
        <f>IF(A5="","",CONCATENATE(VLOOKUP(A5,Clients!B$3:K$702,9)))</f>
        <v/>
      </c>
      <c r="K5" s="317"/>
      <c r="M5" s="332" t="s">
        <v>819</v>
      </c>
      <c r="N5" s="333">
        <v>42795</v>
      </c>
      <c r="O5" s="333">
        <v>42825</v>
      </c>
      <c r="P5" s="334">
        <f>SUMPRODUCT((D4:D93&gt;=N5)*(D4:D93&lt;=O5)*(H4:H93="oui")*E4:E93)</f>
        <v>0</v>
      </c>
      <c r="Q5" s="335">
        <f t="shared" si="0"/>
        <v>0</v>
      </c>
      <c r="R5" s="336">
        <f>SUMPRODUCT((D4:D93&gt;=N5)*(D4:D93&lt;=O5)*E4:E93)</f>
        <v>0</v>
      </c>
    </row>
    <row r="6" spans="1:26" ht="12.75" customHeight="1">
      <c r="A6" s="174"/>
      <c r="B6" s="329" t="str">
        <f>IF(A6="","",CONCATENATE(VLOOKUP(A6,Clients!B$3:K$702,2),VLOOKUP(A6,Clients!B$3:K$702,3,)))</f>
        <v/>
      </c>
      <c r="C6" s="36" t="s">
        <v>1562</v>
      </c>
      <c r="D6" s="38"/>
      <c r="E6" s="339"/>
      <c r="F6" s="38" t="str">
        <f t="shared" si="1"/>
        <v/>
      </c>
      <c r="G6" s="34" t="str">
        <f t="shared" si="2"/>
        <v/>
      </c>
      <c r="H6" s="340" t="str">
        <f t="shared" si="3"/>
        <v/>
      </c>
      <c r="I6" s="38"/>
      <c r="J6" s="37" t="str">
        <f>IF(A6="","",CONCATENATE(VLOOKUP(A6,Clients!B$3:K$702,9)))</f>
        <v/>
      </c>
      <c r="K6" s="317"/>
      <c r="M6" s="332" t="s">
        <v>820</v>
      </c>
      <c r="N6" s="333">
        <v>42826</v>
      </c>
      <c r="O6" s="333">
        <v>42855</v>
      </c>
      <c r="P6" s="334">
        <f>SUMPRODUCT((D4:D93&gt;=N6)*(D4:D93&lt;=O6)*(H4:H93="oui")*E4:E93)</f>
        <v>0</v>
      </c>
      <c r="Q6" s="335">
        <f t="shared" si="0"/>
        <v>0</v>
      </c>
      <c r="R6" s="336">
        <f>SUMPRODUCT((D4:D93&gt;=N6)*(D4:D93&lt;=O6)*E4:E93)</f>
        <v>0</v>
      </c>
    </row>
    <row r="7" spans="1:26" ht="12.75" customHeight="1">
      <c r="A7" s="174"/>
      <c r="B7" s="329" t="str">
        <f>IF(A7="","",CONCATENATE(VLOOKUP(A7,Clients!B$3:K$702,2),VLOOKUP(A7,Clients!B$3:K$702,3,)))</f>
        <v/>
      </c>
      <c r="C7" s="36" t="s">
        <v>1563</v>
      </c>
      <c r="D7" s="38"/>
      <c r="E7" s="339"/>
      <c r="F7" s="38" t="str">
        <f t="shared" si="1"/>
        <v/>
      </c>
      <c r="G7" s="34" t="str">
        <f t="shared" si="2"/>
        <v/>
      </c>
      <c r="H7" s="340" t="str">
        <f t="shared" si="3"/>
        <v/>
      </c>
      <c r="I7" s="38"/>
      <c r="J7" s="37" t="str">
        <f>IF(A7="","",CONCATENATE(VLOOKUP(A7,Clients!B$3:K$702,9)))</f>
        <v/>
      </c>
      <c r="K7" s="317"/>
      <c r="M7" s="341" t="s">
        <v>821</v>
      </c>
      <c r="N7" s="342">
        <v>42856</v>
      </c>
      <c r="O7" s="342">
        <v>42886</v>
      </c>
      <c r="P7" s="334">
        <f>SUMPRODUCT((D4:D93&gt;=N7)*(D4:D93&lt;=O7)*(H4:H93="oui")*E4:E93)</f>
        <v>0</v>
      </c>
      <c r="Q7" s="335">
        <f t="shared" si="0"/>
        <v>0</v>
      </c>
      <c r="R7" s="336">
        <f>SUMPRODUCT((D4:D93&gt;=N7)*(D4:D93&lt;=O7)*E4:E93)</f>
        <v>0</v>
      </c>
    </row>
    <row r="8" spans="1:26" ht="12.75" customHeight="1">
      <c r="A8" s="174"/>
      <c r="B8" s="329" t="str">
        <f>IF(A8="","",CONCATENATE(VLOOKUP(A8,Clients!B$3:K$702,2),VLOOKUP(A8,Clients!B$3:K$702,3,)))</f>
        <v/>
      </c>
      <c r="C8" s="36" t="s">
        <v>1564</v>
      </c>
      <c r="D8" s="38"/>
      <c r="E8" s="339"/>
      <c r="F8" s="38" t="str">
        <f t="shared" si="1"/>
        <v/>
      </c>
      <c r="G8" s="34" t="str">
        <f t="shared" si="2"/>
        <v/>
      </c>
      <c r="H8" s="340" t="str">
        <f t="shared" si="3"/>
        <v/>
      </c>
      <c r="I8" s="38"/>
      <c r="J8" s="37" t="str">
        <f>IF(A8="","",CONCATENATE(VLOOKUP(A8,Clients!B$3:K$702,9)))</f>
        <v/>
      </c>
      <c r="K8" s="317"/>
      <c r="M8" s="332" t="s">
        <v>822</v>
      </c>
      <c r="N8" s="333">
        <v>42887</v>
      </c>
      <c r="O8" s="333">
        <v>42916</v>
      </c>
      <c r="P8" s="334">
        <f>SUMPRODUCT((D4:D93&gt;=N8)*(D4:D93&lt;=O8)*(H4:H93="oui")*E4:E93)</f>
        <v>0</v>
      </c>
      <c r="Q8" s="335">
        <f t="shared" si="0"/>
        <v>0</v>
      </c>
      <c r="R8" s="336">
        <f>SUMPRODUCT((D4:D93&gt;=N8)*(D4:D93&lt;=O8)*E4:E93)</f>
        <v>0</v>
      </c>
    </row>
    <row r="9" spans="1:26" ht="12.75" customHeight="1">
      <c r="A9" s="174"/>
      <c r="B9" s="329" t="str">
        <f>IF(A9="","",CONCATENATE(VLOOKUP(A9,Clients!B$3:K$702,2),VLOOKUP(A9,Clients!B$3:K$702,3,)))</f>
        <v/>
      </c>
      <c r="C9" s="36" t="s">
        <v>1565</v>
      </c>
      <c r="D9" s="38"/>
      <c r="E9" s="339"/>
      <c r="F9" s="38" t="str">
        <f t="shared" si="1"/>
        <v/>
      </c>
      <c r="G9" s="34" t="str">
        <f t="shared" si="2"/>
        <v/>
      </c>
      <c r="H9" s="340" t="str">
        <f t="shared" si="3"/>
        <v/>
      </c>
      <c r="I9" s="38"/>
      <c r="J9" s="37" t="str">
        <f>IF(A9="","",CONCATENATE(VLOOKUP(A9,Clients!B$3:K$702,9)))</f>
        <v/>
      </c>
      <c r="K9" s="317"/>
      <c r="M9" s="332" t="s">
        <v>823</v>
      </c>
      <c r="N9" s="333">
        <v>42917</v>
      </c>
      <c r="O9" s="333">
        <v>42947</v>
      </c>
      <c r="P9" s="334">
        <f>SUMPRODUCT((D4:D93&gt;=N9)*(D4:D93&lt;=O9)*(H4:H93="oui")*E4:E93)</f>
        <v>0</v>
      </c>
      <c r="Q9" s="335">
        <f t="shared" si="0"/>
        <v>0</v>
      </c>
      <c r="R9" s="336">
        <f>SUMPRODUCT((D4:D93&gt;=N9)*(D4:D93&lt;=O9)*E4:E93)</f>
        <v>0</v>
      </c>
    </row>
    <row r="10" spans="1:26" ht="12.75" customHeight="1">
      <c r="A10" s="174"/>
      <c r="B10" s="329" t="str">
        <f>IF(A10="","",CONCATENATE(VLOOKUP(A10,Clients!B$3:K$702,2),VLOOKUP(A10,Clients!B$3:K$702,3,)))</f>
        <v/>
      </c>
      <c r="C10" s="36" t="s">
        <v>1566</v>
      </c>
      <c r="D10" s="38"/>
      <c r="E10" s="339"/>
      <c r="F10" s="38" t="str">
        <f t="shared" si="1"/>
        <v/>
      </c>
      <c r="G10" s="34" t="str">
        <f t="shared" si="2"/>
        <v/>
      </c>
      <c r="H10" s="340" t="str">
        <f t="shared" si="3"/>
        <v/>
      </c>
      <c r="I10" s="38"/>
      <c r="J10" s="37" t="str">
        <f>IF(A10="","",CONCATENATE(VLOOKUP(A10,Clients!B$3:K$702,9)))</f>
        <v/>
      </c>
      <c r="K10" s="317"/>
      <c r="M10" s="341" t="s">
        <v>824</v>
      </c>
      <c r="N10" s="342">
        <v>42948</v>
      </c>
      <c r="O10" s="342">
        <v>42978</v>
      </c>
      <c r="P10" s="334">
        <f>SUMPRODUCT((D4:D93&gt;=N10)*(D4:D93&lt;=O10)*(H4:H93="oui")*E4:E93)</f>
        <v>0</v>
      </c>
      <c r="Q10" s="335">
        <f t="shared" si="0"/>
        <v>0</v>
      </c>
      <c r="R10" s="336">
        <f>SUMPRODUCT((D4:D93&gt;=N10)*(D4:D93&lt;=O10)*E4:E93)</f>
        <v>0</v>
      </c>
    </row>
    <row r="11" spans="1:26" ht="12.75" customHeight="1">
      <c r="A11" s="174"/>
      <c r="B11" s="329" t="str">
        <f>IF(A11="","",CONCATENATE(VLOOKUP(A11,Clients!B$3:K$702,2),VLOOKUP(A11,Clients!B$3:K$702,3,)))</f>
        <v/>
      </c>
      <c r="C11" s="36" t="s">
        <v>1567</v>
      </c>
      <c r="D11" s="38"/>
      <c r="E11" s="339"/>
      <c r="F11" s="38" t="str">
        <f t="shared" si="1"/>
        <v/>
      </c>
      <c r="G11" s="34" t="str">
        <f t="shared" si="2"/>
        <v/>
      </c>
      <c r="H11" s="340" t="str">
        <f t="shared" si="3"/>
        <v/>
      </c>
      <c r="I11" s="38"/>
      <c r="J11" s="37" t="str">
        <f>IF(A11="","",CONCATENATE(VLOOKUP(A11,Clients!B$3:K$702,9)))</f>
        <v/>
      </c>
      <c r="K11" s="317"/>
      <c r="M11" s="332" t="s">
        <v>813</v>
      </c>
      <c r="N11" s="333">
        <v>42979</v>
      </c>
      <c r="O11" s="333">
        <v>43008</v>
      </c>
      <c r="P11" s="334">
        <f>SUMPRODUCT((D4:D93&gt;=N11)*(D4:D93&lt;=O11)*(H4:H93="oui")*E4:E93)</f>
        <v>0</v>
      </c>
      <c r="Q11" s="335">
        <f t="shared" si="0"/>
        <v>0</v>
      </c>
      <c r="R11" s="336">
        <f>SUMPRODUCT((D4:D93&gt;=N11)*(D4:D93&lt;=O11)*E4:E93)</f>
        <v>0</v>
      </c>
    </row>
    <row r="12" spans="1:26" ht="12.75" customHeight="1">
      <c r="A12" s="174"/>
      <c r="B12" s="329" t="str">
        <f>IF(A12="","",CONCATENATE(VLOOKUP(A12,Clients!B$3:K$702,2),VLOOKUP(A12,Clients!B$3:K$702,3,)))</f>
        <v/>
      </c>
      <c r="C12" s="36" t="s">
        <v>1568</v>
      </c>
      <c r="D12" s="38"/>
      <c r="E12" s="339"/>
      <c r="F12" s="38" t="str">
        <f t="shared" si="1"/>
        <v/>
      </c>
      <c r="G12" s="34" t="str">
        <f t="shared" si="2"/>
        <v/>
      </c>
      <c r="H12" s="340" t="str">
        <f t="shared" si="3"/>
        <v/>
      </c>
      <c r="I12" s="38"/>
      <c r="J12" s="37" t="str">
        <f>IF(A12="","",CONCATENATE(VLOOKUP(A12,Clients!B$3:K$702,9)))</f>
        <v/>
      </c>
      <c r="K12" s="317"/>
      <c r="M12" s="332" t="s">
        <v>814</v>
      </c>
      <c r="N12" s="333">
        <v>43009</v>
      </c>
      <c r="O12" s="333">
        <v>43039</v>
      </c>
      <c r="P12" s="334">
        <f>SUMPRODUCT((D4:D93&gt;=N12)*(D4:D93&lt;=O12)*(H4:H93="oui")*E4:E93)</f>
        <v>0</v>
      </c>
      <c r="Q12" s="335">
        <f t="shared" si="0"/>
        <v>0</v>
      </c>
      <c r="R12" s="336">
        <f>SUMPRODUCT((D4:D93&gt;=N12)*(D4:D93&lt;=O12)*E4:E93)</f>
        <v>0</v>
      </c>
    </row>
    <row r="13" spans="1:26" ht="12.75" customHeight="1">
      <c r="A13" s="174"/>
      <c r="B13" s="329" t="str">
        <f>IF(A13="","",CONCATENATE(VLOOKUP(A13,Clients!B$3:K$702,2),VLOOKUP(A13,Clients!B$3:K$702,3,)))</f>
        <v/>
      </c>
      <c r="C13" s="36" t="s">
        <v>1569</v>
      </c>
      <c r="D13" s="38"/>
      <c r="E13" s="339"/>
      <c r="F13" s="38" t="str">
        <f t="shared" si="1"/>
        <v/>
      </c>
      <c r="G13" s="34" t="str">
        <f t="shared" si="2"/>
        <v/>
      </c>
      <c r="H13" s="340" t="str">
        <f t="shared" si="3"/>
        <v/>
      </c>
      <c r="I13" s="38"/>
      <c r="J13" s="37" t="str">
        <f>IF(A13="","",CONCATENATE(VLOOKUP(A13,Clients!B$3:K$702,9)))</f>
        <v/>
      </c>
      <c r="K13" s="317"/>
      <c r="M13" s="341" t="s">
        <v>815</v>
      </c>
      <c r="N13" s="342">
        <v>43040</v>
      </c>
      <c r="O13" s="342">
        <v>43069</v>
      </c>
      <c r="P13" s="334">
        <f>SUMPRODUCT((D4:D93&gt;=N13)*(D4:D93&lt;=O13)*(H4:H93="oui")*E4:E93)</f>
        <v>0</v>
      </c>
      <c r="Q13" s="335">
        <f t="shared" si="0"/>
        <v>0</v>
      </c>
      <c r="R13" s="336">
        <f>SUMPRODUCT((D4:D93&gt;=N13)*(D4:D93&lt;=O13)*E4:E93)</f>
        <v>0</v>
      </c>
    </row>
    <row r="14" spans="1:26" ht="12.75" customHeight="1">
      <c r="A14" s="174"/>
      <c r="B14" s="329" t="str">
        <f>IF(A14="","",CONCATENATE(VLOOKUP(A14,Clients!B$3:K$702,2),VLOOKUP(A14,Clients!B$3:K$702,3,)))</f>
        <v/>
      </c>
      <c r="C14" s="36" t="s">
        <v>1570</v>
      </c>
      <c r="D14" s="38"/>
      <c r="E14" s="339"/>
      <c r="F14" s="38" t="str">
        <f t="shared" si="1"/>
        <v/>
      </c>
      <c r="G14" s="34" t="str">
        <f t="shared" si="2"/>
        <v/>
      </c>
      <c r="H14" s="340" t="str">
        <f t="shared" si="3"/>
        <v/>
      </c>
      <c r="I14" s="38"/>
      <c r="J14" s="37" t="str">
        <f>IF(A14="","",CONCATENATE(VLOOKUP(A14,Clients!B$3:K$702,9)))</f>
        <v/>
      </c>
      <c r="K14" s="317"/>
      <c r="M14" s="332" t="s">
        <v>816</v>
      </c>
      <c r="N14" s="333">
        <v>43070</v>
      </c>
      <c r="O14" s="333">
        <v>43100</v>
      </c>
      <c r="P14" s="334">
        <f>SUMPRODUCT((D4:D93&gt;=N14)*(D4:D93&lt;=O14)*(H4:H93="oui")*E4:E93)</f>
        <v>0</v>
      </c>
      <c r="Q14" s="335">
        <f t="shared" si="0"/>
        <v>0</v>
      </c>
      <c r="R14" s="336">
        <f>SUMPRODUCT((D4:D93&gt;=N14)*(D4:D93&lt;=O14)*E4:E93)</f>
        <v>0</v>
      </c>
    </row>
    <row r="15" spans="1:26" ht="12.75" customHeight="1">
      <c r="A15" s="174"/>
      <c r="B15" s="329" t="str">
        <f>IF(A15="","",CONCATENATE(VLOOKUP(A15,Clients!B$3:K$702,2),VLOOKUP(A15,Clients!B$3:K$702,3,)))</f>
        <v/>
      </c>
      <c r="C15" s="36" t="s">
        <v>1571</v>
      </c>
      <c r="D15" s="38"/>
      <c r="E15" s="339"/>
      <c r="F15" s="38" t="str">
        <f t="shared" si="1"/>
        <v/>
      </c>
      <c r="G15" s="34" t="str">
        <f t="shared" si="2"/>
        <v/>
      </c>
      <c r="H15" s="340" t="str">
        <f t="shared" si="3"/>
        <v/>
      </c>
      <c r="I15" s="38"/>
      <c r="J15" s="37" t="str">
        <f>IF(A15="","",CONCATENATE(VLOOKUP(A15,Clients!B$3:K$702,9)))</f>
        <v/>
      </c>
      <c r="K15" s="317"/>
    </row>
    <row r="16" spans="1:26" ht="12.75" customHeight="1">
      <c r="A16" s="174"/>
      <c r="B16" s="329" t="str">
        <f>IF(A16="","",CONCATENATE(VLOOKUP(A16,Clients!B$3:K$702,2),VLOOKUP(A16,Clients!B$3:K$702,3,)))</f>
        <v/>
      </c>
      <c r="C16" s="36" t="s">
        <v>1572</v>
      </c>
      <c r="D16" s="38"/>
      <c r="E16" s="339"/>
      <c r="F16" s="38" t="str">
        <f t="shared" si="1"/>
        <v/>
      </c>
      <c r="G16" s="34" t="str">
        <f t="shared" si="2"/>
        <v/>
      </c>
      <c r="H16" s="340" t="str">
        <f t="shared" si="3"/>
        <v/>
      </c>
      <c r="I16" s="38"/>
      <c r="J16" s="37" t="str">
        <f>IF(A16="","",CONCATENATE(VLOOKUP(A16,Clients!B$3:K$702,9)))</f>
        <v/>
      </c>
      <c r="K16" s="317"/>
      <c r="P16" s="334">
        <f>SUM(P3:P14)</f>
        <v>0</v>
      </c>
      <c r="Q16" s="335">
        <f>SUM(Q3:Q14)</f>
        <v>0</v>
      </c>
      <c r="R16" s="343">
        <f>SUM(R3:R14)</f>
        <v>0</v>
      </c>
    </row>
    <row r="17" spans="1:14" ht="12.75" customHeight="1">
      <c r="A17" s="174"/>
      <c r="B17" s="329" t="str">
        <f>IF(A17="","",CONCATENATE(VLOOKUP(A17,Clients!B$3:K$702,2),VLOOKUP(A17,Clients!B$3:K$702,3,)))</f>
        <v/>
      </c>
      <c r="C17" s="36" t="s">
        <v>1573</v>
      </c>
      <c r="D17" s="38"/>
      <c r="E17" s="339"/>
      <c r="F17" s="38" t="str">
        <f t="shared" si="1"/>
        <v/>
      </c>
      <c r="G17" s="34" t="str">
        <f t="shared" si="2"/>
        <v/>
      </c>
      <c r="H17" s="340" t="str">
        <f t="shared" si="3"/>
        <v/>
      </c>
      <c r="I17" s="38"/>
      <c r="J17" s="37" t="str">
        <f>IF(A17="","",CONCATENATE(VLOOKUP(A17,Clients!B$3:K$702,9)))</f>
        <v/>
      </c>
      <c r="K17" s="317"/>
    </row>
    <row r="18" spans="1:14" ht="12.75" customHeight="1">
      <c r="A18" s="174"/>
      <c r="B18" s="329" t="str">
        <f>IF(A18="","",CONCATENATE(VLOOKUP(A18,Clients!B$3:K$702,2),VLOOKUP(A18,Clients!B$3:K$702,3,)))</f>
        <v/>
      </c>
      <c r="C18" s="36" t="s">
        <v>1574</v>
      </c>
      <c r="D18" s="38"/>
      <c r="E18" s="339"/>
      <c r="F18" s="38" t="str">
        <f t="shared" si="1"/>
        <v/>
      </c>
      <c r="G18" s="34" t="str">
        <f t="shared" si="2"/>
        <v/>
      </c>
      <c r="H18" s="340" t="str">
        <f t="shared" si="3"/>
        <v/>
      </c>
      <c r="I18" s="38"/>
      <c r="J18" s="37" t="str">
        <f>IF(A18="","",CONCATENATE(VLOOKUP(A18,Clients!B$3:K$702,9)))</f>
        <v/>
      </c>
      <c r="K18" s="317"/>
    </row>
    <row r="19" spans="1:14" ht="12.75" customHeight="1">
      <c r="A19" s="174"/>
      <c r="B19" s="329" t="str">
        <f>IF(A19="","",CONCATENATE(VLOOKUP(A19,Clients!B$3:K$702,2),VLOOKUP(A19,Clients!B$3:K$702,3,)))</f>
        <v/>
      </c>
      <c r="C19" s="36" t="s">
        <v>1575</v>
      </c>
      <c r="D19" s="38"/>
      <c r="E19" s="339"/>
      <c r="F19" s="38" t="str">
        <f t="shared" si="1"/>
        <v/>
      </c>
      <c r="G19" s="34" t="str">
        <f t="shared" si="2"/>
        <v/>
      </c>
      <c r="H19" s="340" t="str">
        <f t="shared" si="3"/>
        <v/>
      </c>
      <c r="I19" s="38"/>
      <c r="J19" s="37" t="str">
        <f>IF(A19="","",CONCATENATE(VLOOKUP(A19,Clients!B$3:K$702,9)))</f>
        <v/>
      </c>
      <c r="K19" s="317"/>
    </row>
    <row r="20" spans="1:14" ht="12.75" customHeight="1">
      <c r="A20" s="174"/>
      <c r="B20" s="329" t="str">
        <f>IF(A20="","",CONCATENATE(VLOOKUP(A20,Clients!B$3:K$702,2),VLOOKUP(A20,Clients!B$3:K$702,3,)))</f>
        <v/>
      </c>
      <c r="C20" s="36" t="s">
        <v>1576</v>
      </c>
      <c r="D20" s="38"/>
      <c r="E20" s="339"/>
      <c r="F20" s="38" t="str">
        <f>IF(D20="","",D20+30)</f>
        <v/>
      </c>
      <c r="G20" s="34" t="str">
        <f>IF(H20="oui",I20-D20,"")</f>
        <v/>
      </c>
      <c r="H20" s="340" t="str">
        <f t="shared" si="3"/>
        <v/>
      </c>
      <c r="I20" s="38"/>
      <c r="J20" s="37" t="str">
        <f>IF(A20="","",CONCATENATE(VLOOKUP(A20,Clients!B$3:K$702,9)))</f>
        <v/>
      </c>
      <c r="K20" s="317"/>
    </row>
    <row r="21" spans="1:14" ht="12.75" customHeight="1">
      <c r="A21" s="174"/>
      <c r="B21" s="329" t="str">
        <f>IF(A21="","",CONCATENATE(VLOOKUP(A21,Clients!B$3:K$702,2),VLOOKUP(A21,Clients!B$3:K$702,3,)))</f>
        <v/>
      </c>
      <c r="C21" s="36" t="s">
        <v>1577</v>
      </c>
      <c r="D21" s="38"/>
      <c r="E21" s="339"/>
      <c r="F21" s="38" t="str">
        <f t="shared" si="1"/>
        <v/>
      </c>
      <c r="G21" s="34" t="str">
        <f t="shared" si="2"/>
        <v/>
      </c>
      <c r="H21" s="340" t="str">
        <f t="shared" si="3"/>
        <v/>
      </c>
      <c r="I21" s="38"/>
      <c r="J21" s="37" t="str">
        <f>IF(A21="","",CONCATENATE(VLOOKUP(A21,Clients!B$3:K$702,9)))</f>
        <v/>
      </c>
      <c r="K21" s="317"/>
    </row>
    <row r="22" spans="1:14" ht="12.75" customHeight="1">
      <c r="A22" s="174"/>
      <c r="B22" s="329" t="str">
        <f>IF(A22="","",CONCATENATE(VLOOKUP(A22,Clients!B$3:K$702,2),VLOOKUP(A22,Clients!B$3:K$702,3,)))</f>
        <v/>
      </c>
      <c r="C22" s="36" t="s">
        <v>1578</v>
      </c>
      <c r="D22" s="38"/>
      <c r="E22" s="339"/>
      <c r="F22" s="38" t="str">
        <f t="shared" si="1"/>
        <v/>
      </c>
      <c r="G22" s="34" t="str">
        <f t="shared" si="2"/>
        <v/>
      </c>
      <c r="H22" s="340" t="str">
        <f t="shared" si="3"/>
        <v/>
      </c>
      <c r="I22" s="38"/>
      <c r="J22" s="37" t="str">
        <f>IF(A22="","",CONCATENATE(VLOOKUP(A22,Clients!B$3:K$702,9)))</f>
        <v/>
      </c>
      <c r="K22" s="317"/>
    </row>
    <row r="23" spans="1:14" ht="12.75" customHeight="1">
      <c r="A23" s="174"/>
      <c r="B23" s="329" t="str">
        <f>IF(A23="","",CONCATENATE(VLOOKUP(A23,Clients!B$3:K$702,2),VLOOKUP(A23,Clients!B$3:K$702,3,)))</f>
        <v/>
      </c>
      <c r="C23" s="36" t="s">
        <v>1579</v>
      </c>
      <c r="D23" s="38"/>
      <c r="E23" s="339"/>
      <c r="F23" s="38" t="str">
        <f t="shared" si="1"/>
        <v/>
      </c>
      <c r="G23" s="34" t="str">
        <f t="shared" si="2"/>
        <v/>
      </c>
      <c r="H23" s="340" t="str">
        <f t="shared" si="3"/>
        <v/>
      </c>
      <c r="I23" s="38"/>
      <c r="J23" s="37" t="str">
        <f>IF(A23="","",CONCATENATE(VLOOKUP(A23,Clients!B$3:K$702,9)))</f>
        <v/>
      </c>
      <c r="K23" s="317"/>
      <c r="N23" s="344"/>
    </row>
    <row r="24" spans="1:14" ht="12.75" customHeight="1">
      <c r="A24" s="174"/>
      <c r="B24" s="329" t="str">
        <f>IF(A24="","",CONCATENATE(VLOOKUP(A24,Clients!B$3:K$702,2),VLOOKUP(A24,Clients!B$3:K$702,3,)))</f>
        <v/>
      </c>
      <c r="C24" s="36" t="s">
        <v>1580</v>
      </c>
      <c r="D24" s="38"/>
      <c r="E24" s="339"/>
      <c r="F24" s="38" t="str">
        <f t="shared" si="1"/>
        <v/>
      </c>
      <c r="G24" s="34" t="str">
        <f t="shared" si="2"/>
        <v/>
      </c>
      <c r="H24" s="340" t="str">
        <f t="shared" si="3"/>
        <v/>
      </c>
      <c r="I24" s="38"/>
      <c r="J24" s="37" t="str">
        <f>IF(A24="","",CONCATENATE(VLOOKUP(A24,Clients!B$3:K$702,9)))</f>
        <v/>
      </c>
      <c r="K24" s="317"/>
    </row>
    <row r="25" spans="1:14" ht="12.75" customHeight="1">
      <c r="A25" s="174"/>
      <c r="B25" s="329" t="str">
        <f>IF(A25="","",CONCATENATE(VLOOKUP(A25,Clients!B$3:K$702,2),VLOOKUP(A25,Clients!B$3:K$702,3,)))</f>
        <v/>
      </c>
      <c r="C25" s="36" t="s">
        <v>1581</v>
      </c>
      <c r="D25" s="38"/>
      <c r="E25" s="339"/>
      <c r="F25" s="38" t="str">
        <f t="shared" si="1"/>
        <v/>
      </c>
      <c r="G25" s="34" t="str">
        <f t="shared" si="2"/>
        <v/>
      </c>
      <c r="H25" s="340" t="str">
        <f t="shared" si="3"/>
        <v/>
      </c>
      <c r="I25" s="38"/>
      <c r="J25" s="37" t="str">
        <f>IF(A25="","",CONCATENATE(VLOOKUP(A25,Clients!B$3:K$702,9)))</f>
        <v/>
      </c>
      <c r="K25" s="317"/>
    </row>
    <row r="26" spans="1:14" ht="12.75" customHeight="1">
      <c r="A26" s="174"/>
      <c r="B26" s="329" t="str">
        <f>IF(A26="","",CONCATENATE(VLOOKUP(A26,Clients!B$3:K$702,2),VLOOKUP(A26,Clients!B$3:K$702,3,)))</f>
        <v/>
      </c>
      <c r="C26" s="36" t="s">
        <v>1582</v>
      </c>
      <c r="D26" s="38"/>
      <c r="E26" s="339"/>
      <c r="F26" s="38" t="str">
        <f t="shared" si="1"/>
        <v/>
      </c>
      <c r="G26" s="34" t="str">
        <f t="shared" si="2"/>
        <v/>
      </c>
      <c r="H26" s="340" t="str">
        <f t="shared" si="3"/>
        <v/>
      </c>
      <c r="I26" s="38"/>
      <c r="J26" s="37" t="str">
        <f>IF(A26="","",CONCATENATE(VLOOKUP(A26,Clients!B$3:K$702,9)))</f>
        <v/>
      </c>
      <c r="K26" s="317"/>
    </row>
    <row r="27" spans="1:14" ht="12.75" customHeight="1">
      <c r="A27" s="174"/>
      <c r="B27" s="329" t="str">
        <f>IF(A27="","",CONCATENATE(VLOOKUP(A27,Clients!B$3:K$702,2),VLOOKUP(A27,Clients!B$3:K$702,3,)))</f>
        <v/>
      </c>
      <c r="C27" s="36" t="s">
        <v>1583</v>
      </c>
      <c r="D27" s="38"/>
      <c r="E27" s="339"/>
      <c r="F27" s="38" t="str">
        <f t="shared" si="1"/>
        <v/>
      </c>
      <c r="G27" s="34" t="str">
        <f t="shared" si="2"/>
        <v/>
      </c>
      <c r="H27" s="340" t="str">
        <f t="shared" si="3"/>
        <v/>
      </c>
      <c r="I27" s="38"/>
      <c r="J27" s="37" t="str">
        <f>IF(A27="","",CONCATENATE(VLOOKUP(A27,Clients!B$3:K$702,9)))</f>
        <v/>
      </c>
      <c r="K27" s="317"/>
    </row>
    <row r="28" spans="1:14" ht="12.75" customHeight="1">
      <c r="A28" s="174"/>
      <c r="B28" s="329" t="str">
        <f>IF(A28="","",CONCATENATE(VLOOKUP(A28,Clients!B$3:K$702,2),VLOOKUP(A28,Clients!B$3:K$702,3,)))</f>
        <v/>
      </c>
      <c r="C28" s="36" t="s">
        <v>1584</v>
      </c>
      <c r="D28" s="38"/>
      <c r="E28" s="339"/>
      <c r="F28" s="38" t="str">
        <f t="shared" si="1"/>
        <v/>
      </c>
      <c r="G28" s="34" t="str">
        <f t="shared" si="2"/>
        <v/>
      </c>
      <c r="H28" s="340" t="str">
        <f t="shared" si="3"/>
        <v/>
      </c>
      <c r="I28" s="38"/>
      <c r="J28" s="37" t="str">
        <f>IF(A28="","",CONCATENATE(VLOOKUP(A28,Clients!B$3:K$702,9)))</f>
        <v/>
      </c>
      <c r="K28" s="317"/>
    </row>
    <row r="29" spans="1:14" ht="12.75" customHeight="1">
      <c r="A29" s="174"/>
      <c r="B29" s="329" t="str">
        <f>IF(A29="","",CONCATENATE(VLOOKUP(A29,Clients!B$3:K$702,2),VLOOKUP(A29,Clients!B$3:K$702,3,)))</f>
        <v/>
      </c>
      <c r="C29" s="36" t="s">
        <v>1585</v>
      </c>
      <c r="D29" s="38"/>
      <c r="E29" s="339"/>
      <c r="F29" s="38" t="str">
        <f t="shared" si="1"/>
        <v/>
      </c>
      <c r="G29" s="34" t="str">
        <f t="shared" si="2"/>
        <v/>
      </c>
      <c r="H29" s="340" t="str">
        <f t="shared" si="3"/>
        <v/>
      </c>
      <c r="I29" s="38"/>
      <c r="J29" s="37" t="str">
        <f>IF(A29="","",CONCATENATE(VLOOKUP(A29,Clients!B$3:K$702,9)))</f>
        <v/>
      </c>
      <c r="K29" s="317"/>
    </row>
    <row r="30" spans="1:14" ht="12.75" customHeight="1">
      <c r="A30" s="174"/>
      <c r="B30" s="329" t="str">
        <f>IF(A30="","",CONCATENATE(VLOOKUP(A30,Clients!B$3:K$702,2),VLOOKUP(A30,Clients!B$3:K$702,3,)))</f>
        <v/>
      </c>
      <c r="C30" s="36" t="s">
        <v>1586</v>
      </c>
      <c r="D30" s="38"/>
      <c r="E30" s="339"/>
      <c r="F30" s="38" t="str">
        <f t="shared" si="1"/>
        <v/>
      </c>
      <c r="G30" s="34" t="str">
        <f t="shared" si="2"/>
        <v/>
      </c>
      <c r="H30" s="340" t="str">
        <f t="shared" si="3"/>
        <v/>
      </c>
      <c r="I30" s="38"/>
      <c r="J30" s="37" t="str">
        <f>IF(A30="","",CONCATENATE(VLOOKUP(A30,Clients!B$3:K$702,9)))</f>
        <v/>
      </c>
      <c r="K30" s="317"/>
    </row>
    <row r="31" spans="1:14" ht="12.75" customHeight="1">
      <c r="A31" s="174"/>
      <c r="B31" s="329" t="str">
        <f>IF(A31="","",CONCATENATE(VLOOKUP(A31,Clients!B$3:K$702,2),VLOOKUP(A31,Clients!B$3:K$702,3,)))</f>
        <v/>
      </c>
      <c r="C31" s="36" t="s">
        <v>1587</v>
      </c>
      <c r="D31" s="38"/>
      <c r="E31" s="339"/>
      <c r="F31" s="38" t="str">
        <f t="shared" si="1"/>
        <v/>
      </c>
      <c r="G31" s="34" t="str">
        <f t="shared" si="2"/>
        <v/>
      </c>
      <c r="H31" s="340" t="str">
        <f t="shared" si="3"/>
        <v/>
      </c>
      <c r="I31" s="38"/>
      <c r="J31" s="37" t="str">
        <f>IF(A31="","",CONCATENATE(VLOOKUP(A31,Clients!B$3:K$702,9)))</f>
        <v/>
      </c>
      <c r="K31" s="317"/>
    </row>
    <row r="32" spans="1:14" ht="12.75" customHeight="1">
      <c r="A32" s="174"/>
      <c r="B32" s="329" t="str">
        <f>IF(A32="","",CONCATENATE(VLOOKUP(A32,Clients!B$3:K$702,2),VLOOKUP(A32,Clients!B$3:K$702,3,)))</f>
        <v/>
      </c>
      <c r="C32" s="36" t="s">
        <v>1588</v>
      </c>
      <c r="D32" s="38"/>
      <c r="E32" s="339"/>
      <c r="F32" s="38" t="str">
        <f t="shared" si="1"/>
        <v/>
      </c>
      <c r="G32" s="34" t="str">
        <f t="shared" si="2"/>
        <v/>
      </c>
      <c r="H32" s="340" t="str">
        <f t="shared" si="3"/>
        <v/>
      </c>
      <c r="I32" s="38"/>
      <c r="J32" s="37" t="str">
        <f>IF(A32="","",CONCATENATE(VLOOKUP(A32,Clients!B$3:K$702,9)))</f>
        <v/>
      </c>
      <c r="K32" s="317"/>
    </row>
    <row r="33" spans="1:11" ht="12.75" customHeight="1">
      <c r="A33" s="174"/>
      <c r="B33" s="329" t="str">
        <f>IF(A33="","",CONCATENATE(VLOOKUP(A33,Clients!B$3:K$702,2),VLOOKUP(A33,Clients!B$3:K$702,3,)))</f>
        <v/>
      </c>
      <c r="C33" s="36" t="s">
        <v>1589</v>
      </c>
      <c r="D33" s="38"/>
      <c r="E33" s="339"/>
      <c r="F33" s="38" t="str">
        <f t="shared" si="1"/>
        <v/>
      </c>
      <c r="G33" s="34" t="str">
        <f t="shared" si="2"/>
        <v/>
      </c>
      <c r="H33" s="340" t="str">
        <f t="shared" si="3"/>
        <v/>
      </c>
      <c r="I33" s="38"/>
      <c r="J33" s="37" t="str">
        <f>IF(A33="","",CONCATENATE(VLOOKUP(A33,Clients!B$3:K$702,9)))</f>
        <v/>
      </c>
      <c r="K33" s="317"/>
    </row>
    <row r="34" spans="1:11" ht="12.75" customHeight="1">
      <c r="A34" s="174"/>
      <c r="B34" s="329" t="str">
        <f>IF(A34="","",CONCATENATE(VLOOKUP(A34,Clients!B$3:K$702,2),VLOOKUP(A34,Clients!B$3:K$702,3,)))</f>
        <v/>
      </c>
      <c r="C34" s="36" t="s">
        <v>1590</v>
      </c>
      <c r="D34" s="38"/>
      <c r="E34" s="339"/>
      <c r="F34" s="38" t="str">
        <f t="shared" si="1"/>
        <v/>
      </c>
      <c r="G34" s="34" t="str">
        <f t="shared" si="2"/>
        <v/>
      </c>
      <c r="H34" s="340" t="str">
        <f t="shared" si="3"/>
        <v/>
      </c>
      <c r="I34" s="38"/>
      <c r="J34" s="37" t="str">
        <f>IF(A34="","",CONCATENATE(VLOOKUP(A34,Clients!B$3:K$702,9)))</f>
        <v/>
      </c>
      <c r="K34" s="317"/>
    </row>
    <row r="35" spans="1:11" ht="12.75" customHeight="1">
      <c r="A35" s="174"/>
      <c r="B35" s="329" t="str">
        <f>IF(A35="","",CONCATENATE(VLOOKUP(A35,Clients!B$3:K$702,2),VLOOKUP(A35,Clients!B$3:K$702,3,)))</f>
        <v/>
      </c>
      <c r="C35" s="36" t="s">
        <v>1591</v>
      </c>
      <c r="D35" s="38"/>
      <c r="E35" s="339"/>
      <c r="F35" s="38" t="str">
        <f t="shared" si="1"/>
        <v/>
      </c>
      <c r="G35" s="34" t="str">
        <f t="shared" si="2"/>
        <v/>
      </c>
      <c r="H35" s="340" t="str">
        <f t="shared" si="3"/>
        <v/>
      </c>
      <c r="I35" s="38"/>
      <c r="J35" s="37" t="str">
        <f>IF(A35="","",CONCATENATE(VLOOKUP(A35,Clients!B$3:K$702,9)))</f>
        <v/>
      </c>
      <c r="K35" s="317"/>
    </row>
    <row r="36" spans="1:11" ht="12.75" customHeight="1">
      <c r="A36" s="174"/>
      <c r="B36" s="329" t="str">
        <f>IF(A36="","",CONCATENATE(VLOOKUP(A36,Clients!B$3:K$702,2),VLOOKUP(A36,Clients!B$3:K$702,3,)))</f>
        <v/>
      </c>
      <c r="C36" s="36" t="s">
        <v>1592</v>
      </c>
      <c r="D36" s="38"/>
      <c r="E36" s="339"/>
      <c r="F36" s="38" t="str">
        <f t="shared" si="1"/>
        <v/>
      </c>
      <c r="G36" s="34" t="str">
        <f t="shared" si="2"/>
        <v/>
      </c>
      <c r="H36" s="340" t="str">
        <f t="shared" si="3"/>
        <v/>
      </c>
      <c r="I36" s="38"/>
      <c r="J36" s="37" t="str">
        <f>IF(A36="","",CONCATENATE(VLOOKUP(A36,Clients!B$3:K$702,9)))</f>
        <v/>
      </c>
      <c r="K36" s="317"/>
    </row>
    <row r="37" spans="1:11" ht="12.75" customHeight="1">
      <c r="A37" s="174"/>
      <c r="B37" s="329" t="str">
        <f>IF(A37="","",CONCATENATE(VLOOKUP(A37,Clients!B$3:K$702,2),VLOOKUP(A37,Clients!B$3:K$702,3,)))</f>
        <v/>
      </c>
      <c r="C37" s="36" t="s">
        <v>1593</v>
      </c>
      <c r="D37" s="38"/>
      <c r="E37" s="339"/>
      <c r="F37" s="38" t="str">
        <f t="shared" si="1"/>
        <v/>
      </c>
      <c r="G37" s="34" t="str">
        <f t="shared" si="2"/>
        <v/>
      </c>
      <c r="H37" s="340" t="str">
        <f t="shared" si="3"/>
        <v/>
      </c>
      <c r="I37" s="38"/>
      <c r="J37" s="37" t="str">
        <f>IF(A37="","",CONCATENATE(VLOOKUP(A37,Clients!B$3:K$702,9)))</f>
        <v/>
      </c>
      <c r="K37" s="317"/>
    </row>
    <row r="38" spans="1:11" ht="12.75" customHeight="1">
      <c r="A38" s="174"/>
      <c r="B38" s="329" t="str">
        <f>IF(A38="","",CONCATENATE(VLOOKUP(A38,Clients!B$3:K$702,2),VLOOKUP(A38,Clients!B$3:K$702,3,)))</f>
        <v/>
      </c>
      <c r="C38" s="36" t="s">
        <v>1594</v>
      </c>
      <c r="D38" s="38"/>
      <c r="E38" s="339"/>
      <c r="F38" s="38" t="str">
        <f t="shared" si="1"/>
        <v/>
      </c>
      <c r="G38" s="34" t="str">
        <f t="shared" si="2"/>
        <v/>
      </c>
      <c r="H38" s="340" t="str">
        <f t="shared" si="3"/>
        <v/>
      </c>
      <c r="I38" s="38"/>
      <c r="J38" s="37" t="str">
        <f>IF(A38="","",CONCATENATE(VLOOKUP(A38,Clients!B$3:K$702,9)))</f>
        <v/>
      </c>
      <c r="K38" s="317"/>
    </row>
    <row r="39" spans="1:11" ht="12.75" customHeight="1">
      <c r="A39" s="174"/>
      <c r="B39" s="329" t="str">
        <f>IF(A39="","",CONCATENATE(VLOOKUP(A39,Clients!B$3:K$702,2),VLOOKUP(A39,Clients!B$3:K$702,3,)))</f>
        <v/>
      </c>
      <c r="C39" s="36" t="s">
        <v>1595</v>
      </c>
      <c r="D39" s="38"/>
      <c r="E39" s="339"/>
      <c r="F39" s="38" t="str">
        <f t="shared" si="1"/>
        <v/>
      </c>
      <c r="G39" s="34" t="str">
        <f t="shared" si="2"/>
        <v/>
      </c>
      <c r="H39" s="340" t="str">
        <f t="shared" si="3"/>
        <v/>
      </c>
      <c r="I39" s="38"/>
      <c r="J39" s="37" t="str">
        <f>IF(A39="","",CONCATENATE(VLOOKUP(A39,Clients!B$3:K$702,9)))</f>
        <v/>
      </c>
      <c r="K39" s="317"/>
    </row>
    <row r="40" spans="1:11" ht="12.75" customHeight="1">
      <c r="A40" s="174"/>
      <c r="B40" s="329" t="str">
        <f>IF(A40="","",CONCATENATE(VLOOKUP(A40,Clients!B$3:K$702,2),VLOOKUP(A40,Clients!B$3:K$702,3,)))</f>
        <v/>
      </c>
      <c r="C40" s="36" t="s">
        <v>1596</v>
      </c>
      <c r="D40" s="38"/>
      <c r="E40" s="339"/>
      <c r="F40" s="38" t="str">
        <f t="shared" si="1"/>
        <v/>
      </c>
      <c r="G40" s="34" t="str">
        <f t="shared" si="2"/>
        <v/>
      </c>
      <c r="H40" s="340" t="str">
        <f t="shared" si="3"/>
        <v/>
      </c>
      <c r="I40" s="38"/>
      <c r="J40" s="37" t="str">
        <f>IF(A40="","",CONCATENATE(VLOOKUP(A40,Clients!B$3:K$702,9)))</f>
        <v/>
      </c>
      <c r="K40" s="317"/>
    </row>
    <row r="41" spans="1:11" ht="12.75" customHeight="1">
      <c r="A41" s="174"/>
      <c r="B41" s="329" t="str">
        <f>IF(A41="","",CONCATENATE(VLOOKUP(A41,Clients!B$3:K$702,2),VLOOKUP(A41,Clients!B$3:K$702,3,)))</f>
        <v/>
      </c>
      <c r="C41" s="36" t="s">
        <v>1597</v>
      </c>
      <c r="D41" s="38"/>
      <c r="E41" s="339"/>
      <c r="F41" s="38" t="str">
        <f t="shared" si="1"/>
        <v/>
      </c>
      <c r="G41" s="34" t="str">
        <f t="shared" si="2"/>
        <v/>
      </c>
      <c r="H41" s="340" t="str">
        <f t="shared" si="3"/>
        <v/>
      </c>
      <c r="I41" s="38"/>
      <c r="J41" s="37" t="str">
        <f>IF(A41="","",CONCATENATE(VLOOKUP(A41,Clients!B$3:K$702,9)))</f>
        <v/>
      </c>
      <c r="K41" s="317"/>
    </row>
    <row r="42" spans="1:11" ht="12.75" customHeight="1">
      <c r="A42" s="174"/>
      <c r="B42" s="329" t="str">
        <f>IF(A42="","",CONCATENATE(VLOOKUP(A42,Clients!B$3:K$702,2),VLOOKUP(A42,Clients!B$3:K$702,3,)))</f>
        <v/>
      </c>
      <c r="C42" s="36" t="s">
        <v>1598</v>
      </c>
      <c r="D42" s="38"/>
      <c r="E42" s="339"/>
      <c r="F42" s="38" t="str">
        <f t="shared" si="1"/>
        <v/>
      </c>
      <c r="G42" s="34" t="str">
        <f t="shared" si="2"/>
        <v/>
      </c>
      <c r="H42" s="340" t="str">
        <f t="shared" si="3"/>
        <v/>
      </c>
      <c r="I42" s="38"/>
      <c r="J42" s="37" t="str">
        <f>IF(A42="","",CONCATENATE(VLOOKUP(A42,Clients!B$3:K$702,9)))</f>
        <v/>
      </c>
      <c r="K42" s="317"/>
    </row>
    <row r="43" spans="1:11" ht="12.75" customHeight="1">
      <c r="A43" s="174"/>
      <c r="B43" s="329" t="str">
        <f>IF(A43="","",CONCATENATE(VLOOKUP(A43,Clients!B$3:K$702,2),VLOOKUP(A43,Clients!B$3:K$702,3,)))</f>
        <v/>
      </c>
      <c r="C43" s="36" t="s">
        <v>1599</v>
      </c>
      <c r="D43" s="38"/>
      <c r="E43" s="339"/>
      <c r="F43" s="38" t="str">
        <f t="shared" si="1"/>
        <v/>
      </c>
      <c r="G43" s="34" t="str">
        <f t="shared" si="2"/>
        <v/>
      </c>
      <c r="H43" s="340" t="str">
        <f t="shared" si="3"/>
        <v/>
      </c>
      <c r="I43" s="38"/>
      <c r="J43" s="37" t="str">
        <f>IF(A43="","",CONCATENATE(VLOOKUP(A43,Clients!B$3:K$702,9)))</f>
        <v/>
      </c>
      <c r="K43" s="317"/>
    </row>
    <row r="44" spans="1:11" ht="12.75" customHeight="1">
      <c r="A44" s="174"/>
      <c r="B44" s="329" t="str">
        <f>IF(A44="","",CONCATENATE(VLOOKUP(A44,Clients!B$3:K$702,2),VLOOKUP(A44,Clients!B$3:K$702,3,)))</f>
        <v/>
      </c>
      <c r="C44" s="36" t="s">
        <v>1600</v>
      </c>
      <c r="D44" s="38"/>
      <c r="E44" s="339"/>
      <c r="F44" s="38" t="str">
        <f t="shared" si="1"/>
        <v/>
      </c>
      <c r="G44" s="34" t="str">
        <f t="shared" si="2"/>
        <v/>
      </c>
      <c r="H44" s="340" t="str">
        <f t="shared" si="3"/>
        <v/>
      </c>
      <c r="I44" s="38"/>
      <c r="J44" s="37" t="str">
        <f>IF(A44="","",CONCATENATE(VLOOKUP(A44,Clients!B$3:K$702,9)))</f>
        <v/>
      </c>
      <c r="K44" s="317"/>
    </row>
    <row r="45" spans="1:11" ht="12.75" customHeight="1">
      <c r="A45" s="174"/>
      <c r="B45" s="329" t="str">
        <f>IF(A45="","",CONCATENATE(VLOOKUP(A45,Clients!B$3:K$702,2),VLOOKUP(A45,Clients!B$3:K$702,3,)))</f>
        <v/>
      </c>
      <c r="C45" s="36" t="s">
        <v>1601</v>
      </c>
      <c r="D45" s="38"/>
      <c r="E45" s="339"/>
      <c r="F45" s="38" t="str">
        <f t="shared" si="1"/>
        <v/>
      </c>
      <c r="G45" s="34" t="str">
        <f t="shared" si="2"/>
        <v/>
      </c>
      <c r="H45" s="340" t="str">
        <f t="shared" si="3"/>
        <v/>
      </c>
      <c r="I45" s="38"/>
      <c r="J45" s="37" t="str">
        <f>IF(A45="","",CONCATENATE(VLOOKUP(A45,Clients!B$3:K$702,9)))</f>
        <v/>
      </c>
      <c r="K45" s="317"/>
    </row>
    <row r="46" spans="1:11" ht="12.75" customHeight="1">
      <c r="A46" s="174"/>
      <c r="B46" s="329" t="str">
        <f>IF(A46="","",CONCATENATE(VLOOKUP(A46,Clients!B$3:K$702,2),VLOOKUP(A46,Clients!B$3:K$702,3,)))</f>
        <v/>
      </c>
      <c r="C46" s="36" t="s">
        <v>1602</v>
      </c>
      <c r="D46" s="38"/>
      <c r="E46" s="339"/>
      <c r="F46" s="38" t="str">
        <f t="shared" si="1"/>
        <v/>
      </c>
      <c r="G46" s="34" t="str">
        <f t="shared" si="2"/>
        <v/>
      </c>
      <c r="H46" s="340" t="str">
        <f t="shared" si="3"/>
        <v/>
      </c>
      <c r="I46" s="38"/>
      <c r="J46" s="37" t="str">
        <f>IF(A46="","",CONCATENATE(VLOOKUP(A46,Clients!B$3:K$702,9)))</f>
        <v/>
      </c>
      <c r="K46" s="317"/>
    </row>
    <row r="47" spans="1:11" ht="12.75" customHeight="1">
      <c r="A47" s="174"/>
      <c r="B47" s="329" t="str">
        <f>IF(A47="","",CONCATENATE(VLOOKUP(A47,Clients!B$3:K$702,2),VLOOKUP(A47,Clients!B$3:K$702,3,)))</f>
        <v/>
      </c>
      <c r="C47" s="36" t="s">
        <v>1603</v>
      </c>
      <c r="D47" s="38"/>
      <c r="E47" s="339"/>
      <c r="F47" s="38" t="str">
        <f t="shared" si="1"/>
        <v/>
      </c>
      <c r="G47" s="34" t="str">
        <f t="shared" si="2"/>
        <v/>
      </c>
      <c r="H47" s="340" t="str">
        <f t="shared" si="3"/>
        <v/>
      </c>
      <c r="I47" s="38"/>
      <c r="J47" s="37" t="str">
        <f>IF(A47="","",CONCATENATE(VLOOKUP(A47,Clients!B$3:K$702,9)))</f>
        <v/>
      </c>
      <c r="K47" s="317"/>
    </row>
    <row r="48" spans="1:11" ht="12.75" customHeight="1">
      <c r="A48" s="174"/>
      <c r="B48" s="329" t="str">
        <f>IF(A48="","",CONCATENATE(VLOOKUP(A48,Clients!B$3:K$702,2),VLOOKUP(A48,Clients!B$3:K$702,3,)))</f>
        <v/>
      </c>
      <c r="C48" s="36" t="s">
        <v>1604</v>
      </c>
      <c r="D48" s="38"/>
      <c r="E48" s="339"/>
      <c r="F48" s="38" t="str">
        <f t="shared" si="1"/>
        <v/>
      </c>
      <c r="G48" s="34" t="str">
        <f t="shared" si="2"/>
        <v/>
      </c>
      <c r="H48" s="340" t="str">
        <f t="shared" si="3"/>
        <v/>
      </c>
      <c r="I48" s="38"/>
      <c r="J48" s="37" t="str">
        <f>IF(A48="","",CONCATENATE(VLOOKUP(A48,Clients!B$3:K$702,9)))</f>
        <v/>
      </c>
      <c r="K48" s="317"/>
    </row>
    <row r="49" spans="1:11" ht="12.75" customHeight="1">
      <c r="A49" s="174"/>
      <c r="B49" s="329" t="str">
        <f>IF(A49="","",CONCATENATE(VLOOKUP(A49,Clients!B$3:K$702,2),VLOOKUP(A49,Clients!B$3:K$702,3,)))</f>
        <v/>
      </c>
      <c r="C49" s="36" t="s">
        <v>1605</v>
      </c>
      <c r="D49" s="38"/>
      <c r="E49" s="339"/>
      <c r="F49" s="38" t="str">
        <f t="shared" si="1"/>
        <v/>
      </c>
      <c r="G49" s="34" t="str">
        <f t="shared" si="2"/>
        <v/>
      </c>
      <c r="H49" s="340" t="str">
        <f t="shared" si="3"/>
        <v/>
      </c>
      <c r="I49" s="38"/>
      <c r="J49" s="37" t="str">
        <f>IF(A49="","",CONCATENATE(VLOOKUP(A49,Clients!B$3:K$702,9)))</f>
        <v/>
      </c>
      <c r="K49" s="317"/>
    </row>
    <row r="50" spans="1:11" ht="12.75" customHeight="1">
      <c r="A50" s="174"/>
      <c r="B50" s="329" t="str">
        <f>IF(A50="","",CONCATENATE(VLOOKUP(A50,Clients!B$3:K$702,2),VLOOKUP(A50,Clients!B$3:K$702,3,)))</f>
        <v/>
      </c>
      <c r="C50" s="36" t="s">
        <v>1606</v>
      </c>
      <c r="D50" s="38"/>
      <c r="E50" s="339"/>
      <c r="F50" s="38" t="str">
        <f t="shared" si="1"/>
        <v/>
      </c>
      <c r="G50" s="34" t="str">
        <f t="shared" si="2"/>
        <v/>
      </c>
      <c r="H50" s="340" t="str">
        <f t="shared" si="3"/>
        <v/>
      </c>
      <c r="I50" s="38"/>
      <c r="J50" s="37" t="str">
        <f>IF(A50="","",CONCATENATE(VLOOKUP(A50,Clients!B$3:K$702,9)))</f>
        <v/>
      </c>
      <c r="K50" s="317"/>
    </row>
    <row r="51" spans="1:11" ht="12.75" customHeight="1">
      <c r="A51" s="174"/>
      <c r="B51" s="329" t="str">
        <f>IF(A51="","",CONCATENATE(VLOOKUP(A51,Clients!B$3:K$702,2),VLOOKUP(A51,Clients!B$3:K$702,3,)))</f>
        <v/>
      </c>
      <c r="C51" s="36" t="s">
        <v>1607</v>
      </c>
      <c r="D51" s="38"/>
      <c r="E51" s="339"/>
      <c r="F51" s="38" t="str">
        <f t="shared" si="1"/>
        <v/>
      </c>
      <c r="G51" s="34" t="str">
        <f t="shared" si="2"/>
        <v/>
      </c>
      <c r="H51" s="340" t="str">
        <f t="shared" si="3"/>
        <v/>
      </c>
      <c r="I51" s="38"/>
      <c r="J51" s="37" t="str">
        <f>IF(A51="","",CONCATENATE(VLOOKUP(A51,Clients!B$3:K$702,9)))</f>
        <v/>
      </c>
      <c r="K51" s="317"/>
    </row>
    <row r="52" spans="1:11" ht="12.75" customHeight="1">
      <c r="A52" s="174"/>
      <c r="B52" s="329" t="str">
        <f>IF(A52="","",CONCATENATE(VLOOKUP(A52,Clients!B$3:K$702,2),VLOOKUP(A52,Clients!B$3:K$702,3,)))</f>
        <v/>
      </c>
      <c r="C52" s="36" t="s">
        <v>1608</v>
      </c>
      <c r="D52" s="38"/>
      <c r="E52" s="339"/>
      <c r="F52" s="38" t="str">
        <f t="shared" si="1"/>
        <v/>
      </c>
      <c r="G52" s="34" t="str">
        <f t="shared" si="2"/>
        <v/>
      </c>
      <c r="H52" s="340" t="str">
        <f t="shared" si="3"/>
        <v/>
      </c>
      <c r="I52" s="38"/>
      <c r="J52" s="37" t="str">
        <f>IF(A52="","",CONCATENATE(VLOOKUP(A52,Clients!B$3:K$702,9)))</f>
        <v/>
      </c>
      <c r="K52" s="317"/>
    </row>
    <row r="53" spans="1:11" ht="12.75" customHeight="1">
      <c r="A53" s="174"/>
      <c r="B53" s="329" t="str">
        <f>IF(A53="","",CONCATENATE(VLOOKUP(A53,Clients!B$3:K$702,2),VLOOKUP(A53,Clients!B$3:K$702,3,)))</f>
        <v/>
      </c>
      <c r="C53" s="36" t="s">
        <v>1609</v>
      </c>
      <c r="D53" s="38"/>
      <c r="E53" s="339"/>
      <c r="F53" s="38" t="str">
        <f t="shared" si="1"/>
        <v/>
      </c>
      <c r="G53" s="34" t="str">
        <f t="shared" si="2"/>
        <v/>
      </c>
      <c r="H53" s="340" t="str">
        <f t="shared" si="3"/>
        <v/>
      </c>
      <c r="I53" s="38"/>
      <c r="J53" s="37" t="str">
        <f>IF(A53="","",CONCATENATE(VLOOKUP(A53,Clients!B$3:K$702,9)))</f>
        <v/>
      </c>
      <c r="K53" s="317"/>
    </row>
    <row r="54" spans="1:11" ht="12.75" customHeight="1">
      <c r="A54" s="174"/>
      <c r="B54" s="329" t="str">
        <f>IF(A54="","",CONCATENATE(VLOOKUP(A54,Clients!B$3:K$702,2),VLOOKUP(A54,Clients!B$3:K$702,3,)))</f>
        <v/>
      </c>
      <c r="C54" s="36" t="s">
        <v>1610</v>
      </c>
      <c r="D54" s="38"/>
      <c r="E54" s="339"/>
      <c r="F54" s="38" t="str">
        <f t="shared" si="1"/>
        <v/>
      </c>
      <c r="G54" s="34" t="str">
        <f t="shared" si="2"/>
        <v/>
      </c>
      <c r="H54" s="340" t="str">
        <f t="shared" si="3"/>
        <v/>
      </c>
      <c r="I54" s="38"/>
      <c r="J54" s="37" t="str">
        <f>IF(A54="","",CONCATENATE(VLOOKUP(A54,Clients!B$3:K$702,9)))</f>
        <v/>
      </c>
      <c r="K54" s="317"/>
    </row>
    <row r="55" spans="1:11" ht="12.75" customHeight="1">
      <c r="A55" s="174"/>
      <c r="B55" s="329" t="str">
        <f>IF(A55="","",CONCATENATE(VLOOKUP(A55,Clients!B$3:K$702,2),VLOOKUP(A55,Clients!B$3:K$702,3,)))</f>
        <v/>
      </c>
      <c r="C55" s="36" t="s">
        <v>1611</v>
      </c>
      <c r="D55" s="38"/>
      <c r="E55" s="339"/>
      <c r="F55" s="38" t="str">
        <f t="shared" si="1"/>
        <v/>
      </c>
      <c r="G55" s="34" t="str">
        <f t="shared" si="2"/>
        <v/>
      </c>
      <c r="H55" s="340" t="str">
        <f t="shared" si="3"/>
        <v/>
      </c>
      <c r="I55" s="38"/>
      <c r="J55" s="37" t="str">
        <f>IF(A55="","",CONCATENATE(VLOOKUP(A55,Clients!B$3:K$702,9)))</f>
        <v/>
      </c>
      <c r="K55" s="317"/>
    </row>
    <row r="56" spans="1:11" ht="12.75" customHeight="1">
      <c r="A56" s="174"/>
      <c r="B56" s="329" t="str">
        <f>IF(A56="","",CONCATENATE(VLOOKUP(A56,Clients!B$3:K$702,2),VLOOKUP(A56,Clients!B$3:K$702,3,)))</f>
        <v/>
      </c>
      <c r="C56" s="36" t="s">
        <v>1612</v>
      </c>
      <c r="D56" s="38"/>
      <c r="E56" s="339"/>
      <c r="F56" s="38" t="str">
        <f t="shared" si="1"/>
        <v/>
      </c>
      <c r="G56" s="34" t="str">
        <f t="shared" si="2"/>
        <v/>
      </c>
      <c r="H56" s="340" t="str">
        <f t="shared" si="3"/>
        <v/>
      </c>
      <c r="I56" s="38"/>
      <c r="J56" s="37" t="str">
        <f>IF(A56="","",CONCATENATE(VLOOKUP(A56,Clients!B$3:K$702,9)))</f>
        <v/>
      </c>
      <c r="K56" s="317"/>
    </row>
    <row r="57" spans="1:11" ht="12.75" customHeight="1">
      <c r="A57" s="174"/>
      <c r="B57" s="329" t="str">
        <f>IF(A57="","",CONCATENATE(VLOOKUP(A57,Clients!B$3:K$702,2),VLOOKUP(A57,Clients!B$3:K$702,3,)))</f>
        <v/>
      </c>
      <c r="C57" s="36" t="s">
        <v>1613</v>
      </c>
      <c r="D57" s="38"/>
      <c r="E57" s="339"/>
      <c r="F57" s="38" t="str">
        <f t="shared" si="1"/>
        <v/>
      </c>
      <c r="G57" s="34" t="str">
        <f t="shared" si="2"/>
        <v/>
      </c>
      <c r="H57" s="340" t="str">
        <f t="shared" si="3"/>
        <v/>
      </c>
      <c r="I57" s="38"/>
      <c r="J57" s="37" t="str">
        <f>IF(A57="","",CONCATENATE(VLOOKUP(A57,Clients!B$3:K$702,9)))</f>
        <v/>
      </c>
      <c r="K57" s="317"/>
    </row>
    <row r="58" spans="1:11" ht="12.75" customHeight="1">
      <c r="A58" s="174"/>
      <c r="B58" s="329" t="str">
        <f>IF(A58="","",CONCATENATE(VLOOKUP(A58,Clients!B$3:K$702,2),VLOOKUP(A58,Clients!B$3:K$702,3,)))</f>
        <v/>
      </c>
      <c r="C58" s="36" t="s">
        <v>1614</v>
      </c>
      <c r="D58" s="38"/>
      <c r="E58" s="339"/>
      <c r="F58" s="38" t="str">
        <f t="shared" si="1"/>
        <v/>
      </c>
      <c r="G58" s="34" t="str">
        <f t="shared" si="2"/>
        <v/>
      </c>
      <c r="H58" s="340" t="str">
        <f t="shared" si="3"/>
        <v/>
      </c>
      <c r="I58" s="38"/>
      <c r="J58" s="37" t="str">
        <f>IF(A58="","",CONCATENATE(VLOOKUP(A58,Clients!B$3:K$702,9)))</f>
        <v/>
      </c>
      <c r="K58" s="317"/>
    </row>
    <row r="59" spans="1:11" ht="12.75" customHeight="1">
      <c r="A59" s="174"/>
      <c r="B59" s="329" t="str">
        <f>IF(A59="","",CONCATENATE(VLOOKUP(A59,Clients!B$3:K$702,2),VLOOKUP(A59,Clients!B$3:K$702,3,)))</f>
        <v/>
      </c>
      <c r="C59" s="36" t="s">
        <v>1615</v>
      </c>
      <c r="D59" s="38"/>
      <c r="E59" s="339"/>
      <c r="F59" s="38" t="str">
        <f t="shared" si="1"/>
        <v/>
      </c>
      <c r="G59" s="34" t="str">
        <f t="shared" si="2"/>
        <v/>
      </c>
      <c r="H59" s="340" t="str">
        <f t="shared" si="3"/>
        <v/>
      </c>
      <c r="I59" s="38"/>
      <c r="J59" s="37" t="str">
        <f>IF(A59="","",CONCATENATE(VLOOKUP(A59,Clients!B$3:K$702,9)))</f>
        <v/>
      </c>
      <c r="K59" s="317"/>
    </row>
    <row r="60" spans="1:11" ht="12.75" customHeight="1">
      <c r="A60" s="174"/>
      <c r="B60" s="329" t="str">
        <f>IF(A60="","",CONCATENATE(VLOOKUP(A60,Clients!B$3:K$702,2),VLOOKUP(A60,Clients!B$3:K$702,3,)))</f>
        <v/>
      </c>
      <c r="C60" s="36" t="s">
        <v>1616</v>
      </c>
      <c r="D60" s="38"/>
      <c r="E60" s="339"/>
      <c r="F60" s="38" t="str">
        <f t="shared" si="1"/>
        <v/>
      </c>
      <c r="G60" s="34" t="str">
        <f t="shared" si="2"/>
        <v/>
      </c>
      <c r="H60" s="340" t="str">
        <f t="shared" si="3"/>
        <v/>
      </c>
      <c r="I60" s="38"/>
      <c r="J60" s="37" t="str">
        <f>IF(A60="","",CONCATENATE(VLOOKUP(A60,Clients!B$3:K$702,9)))</f>
        <v/>
      </c>
      <c r="K60" s="317"/>
    </row>
    <row r="61" spans="1:11" ht="12.75" customHeight="1">
      <c r="A61" s="174"/>
      <c r="B61" s="329" t="str">
        <f>IF(A61="","",CONCATENATE(VLOOKUP(A61,Clients!B$3:K$702,2),VLOOKUP(A61,Clients!B$3:K$702,3,)))</f>
        <v/>
      </c>
      <c r="C61" s="36" t="s">
        <v>1617</v>
      </c>
      <c r="D61" s="38"/>
      <c r="E61" s="339"/>
      <c r="F61" s="38" t="str">
        <f t="shared" si="1"/>
        <v/>
      </c>
      <c r="G61" s="34" t="str">
        <f t="shared" si="2"/>
        <v/>
      </c>
      <c r="H61" s="340" t="str">
        <f t="shared" si="3"/>
        <v/>
      </c>
      <c r="I61" s="38"/>
      <c r="J61" s="37" t="str">
        <f>IF(A61="","",CONCATENATE(VLOOKUP(A61,Clients!B$3:K$702,9)))</f>
        <v/>
      </c>
      <c r="K61" s="317"/>
    </row>
    <row r="62" spans="1:11" ht="12.75" customHeight="1">
      <c r="A62" s="174"/>
      <c r="B62" s="329" t="str">
        <f>IF(A62="","",CONCATENATE(VLOOKUP(A62,Clients!B$3:K$702,2),VLOOKUP(A62,Clients!B$3:K$702,3,)))</f>
        <v/>
      </c>
      <c r="C62" s="36" t="s">
        <v>1618</v>
      </c>
      <c r="D62" s="38"/>
      <c r="E62" s="339"/>
      <c r="F62" s="38" t="str">
        <f t="shared" si="1"/>
        <v/>
      </c>
      <c r="G62" s="34" t="str">
        <f t="shared" si="2"/>
        <v/>
      </c>
      <c r="H62" s="340" t="str">
        <f t="shared" si="3"/>
        <v/>
      </c>
      <c r="I62" s="38"/>
      <c r="J62" s="37" t="str">
        <f>IF(A62="","",CONCATENATE(VLOOKUP(A62,Clients!B$3:K$702,9)))</f>
        <v/>
      </c>
      <c r="K62" s="317"/>
    </row>
    <row r="63" spans="1:11" ht="12.75" customHeight="1">
      <c r="A63" s="174"/>
      <c r="B63" s="329" t="str">
        <f>IF(A63="","",CONCATENATE(VLOOKUP(A63,Clients!B$3:K$702,2),VLOOKUP(A63,Clients!B$3:K$702,3,)))</f>
        <v/>
      </c>
      <c r="C63" s="36" t="s">
        <v>1619</v>
      </c>
      <c r="D63" s="38"/>
      <c r="E63" s="339"/>
      <c r="F63" s="38" t="str">
        <f t="shared" si="1"/>
        <v/>
      </c>
      <c r="G63" s="34" t="str">
        <f t="shared" si="2"/>
        <v/>
      </c>
      <c r="H63" s="340" t="str">
        <f t="shared" si="3"/>
        <v/>
      </c>
      <c r="I63" s="38"/>
      <c r="J63" s="37" t="str">
        <f>IF(A63="","",CONCATENATE(VLOOKUP(A63,Clients!B$3:K$702,9)))</f>
        <v/>
      </c>
      <c r="K63" s="317"/>
    </row>
    <row r="64" spans="1:11" ht="12.75" customHeight="1">
      <c r="A64" s="174"/>
      <c r="B64" s="329" t="str">
        <f>IF(A64="","",CONCATENATE(VLOOKUP(A64,Clients!B$3:K$702,2),VLOOKUP(A64,Clients!B$3:K$702,3,)))</f>
        <v/>
      </c>
      <c r="C64" s="36" t="s">
        <v>1620</v>
      </c>
      <c r="D64" s="38"/>
      <c r="E64" s="339"/>
      <c r="F64" s="38" t="str">
        <f t="shared" si="1"/>
        <v/>
      </c>
      <c r="G64" s="34" t="str">
        <f t="shared" si="2"/>
        <v/>
      </c>
      <c r="H64" s="340" t="str">
        <f t="shared" si="3"/>
        <v/>
      </c>
      <c r="I64" s="38"/>
      <c r="J64" s="37" t="str">
        <f>IF(A64="","",CONCATENATE(VLOOKUP(A64,Clients!B$3:K$702,9)))</f>
        <v/>
      </c>
      <c r="K64" s="317"/>
    </row>
    <row r="65" spans="1:11" ht="12.75" customHeight="1">
      <c r="A65" s="174"/>
      <c r="B65" s="329" t="str">
        <f>IF(A65="","",CONCATENATE(VLOOKUP(A65,Clients!B$3:K$702,2),VLOOKUP(A65,Clients!B$3:K$702,3,)))</f>
        <v/>
      </c>
      <c r="C65" s="36" t="s">
        <v>1621</v>
      </c>
      <c r="D65" s="38"/>
      <c r="E65" s="339"/>
      <c r="F65" s="38" t="str">
        <f t="shared" si="1"/>
        <v/>
      </c>
      <c r="G65" s="34" t="str">
        <f t="shared" si="2"/>
        <v/>
      </c>
      <c r="H65" s="340" t="str">
        <f t="shared" si="3"/>
        <v/>
      </c>
      <c r="I65" s="38"/>
      <c r="J65" s="37" t="str">
        <f>IF(A65="","",CONCATENATE(VLOOKUP(A65,Clients!B$3:K$702,9)))</f>
        <v/>
      </c>
      <c r="K65" s="317"/>
    </row>
    <row r="66" spans="1:11" ht="12.75" customHeight="1">
      <c r="A66" s="174"/>
      <c r="B66" s="329" t="str">
        <f>IF(A66="","",CONCATENATE(VLOOKUP(A66,Clients!B$3:K$702,2),VLOOKUP(A66,Clients!B$3:K$702,3,)))</f>
        <v/>
      </c>
      <c r="C66" s="36" t="s">
        <v>1622</v>
      </c>
      <c r="D66" s="38"/>
      <c r="E66" s="339"/>
      <c r="F66" s="38" t="str">
        <f t="shared" si="1"/>
        <v/>
      </c>
      <c r="G66" s="34" t="str">
        <f t="shared" si="2"/>
        <v/>
      </c>
      <c r="H66" s="340" t="str">
        <f t="shared" si="3"/>
        <v/>
      </c>
      <c r="I66" s="38"/>
      <c r="J66" s="37" t="str">
        <f>IF(A66="","",CONCATENATE(VLOOKUP(A66,Clients!B$3:K$702,9)))</f>
        <v/>
      </c>
      <c r="K66" s="317"/>
    </row>
    <row r="67" spans="1:11" ht="12.75" customHeight="1">
      <c r="A67" s="174"/>
      <c r="B67" s="329" t="str">
        <f>IF(A67="","",CONCATENATE(VLOOKUP(A67,Clients!B$3:K$702,2),VLOOKUP(A67,Clients!B$3:K$702,3,)))</f>
        <v/>
      </c>
      <c r="C67" s="36" t="s">
        <v>1623</v>
      </c>
      <c r="D67" s="38"/>
      <c r="E67" s="339"/>
      <c r="F67" s="38" t="str">
        <f t="shared" si="1"/>
        <v/>
      </c>
      <c r="G67" s="34" t="str">
        <f t="shared" si="2"/>
        <v/>
      </c>
      <c r="H67" s="340" t="str">
        <f t="shared" si="3"/>
        <v/>
      </c>
      <c r="I67" s="38"/>
      <c r="J67" s="37" t="str">
        <f>IF(A67="","",CONCATENATE(VLOOKUP(A67,Clients!B$3:K$702,9)))</f>
        <v/>
      </c>
      <c r="K67" s="317"/>
    </row>
    <row r="68" spans="1:11" ht="12.75" customHeight="1">
      <c r="A68" s="174"/>
      <c r="B68" s="329" t="str">
        <f>IF(A68="","",CONCATENATE(VLOOKUP(A68,Clients!B$3:K$702,2),VLOOKUP(A68,Clients!B$3:K$702,3,)))</f>
        <v/>
      </c>
      <c r="C68" s="36" t="s">
        <v>1624</v>
      </c>
      <c r="D68" s="38"/>
      <c r="E68" s="339"/>
      <c r="F68" s="38" t="str">
        <f t="shared" si="1"/>
        <v/>
      </c>
      <c r="G68" s="34" t="str">
        <f t="shared" si="2"/>
        <v/>
      </c>
      <c r="H68" s="340" t="str">
        <f t="shared" si="3"/>
        <v/>
      </c>
      <c r="I68" s="38"/>
      <c r="J68" s="37" t="str">
        <f>IF(A68="","",CONCATENATE(VLOOKUP(A68,Clients!B$3:K$702,9)))</f>
        <v/>
      </c>
      <c r="K68" s="317"/>
    </row>
    <row r="69" spans="1:11" ht="12.75" customHeight="1">
      <c r="A69" s="174"/>
      <c r="B69" s="329" t="str">
        <f>IF(A69="","",CONCATENATE(VLOOKUP(A69,Clients!B$3:K$702,2),VLOOKUP(A69,Clients!B$3:K$702,3,)))</f>
        <v/>
      </c>
      <c r="C69" s="36" t="s">
        <v>1625</v>
      </c>
      <c r="D69" s="38"/>
      <c r="E69" s="339"/>
      <c r="F69" s="38" t="str">
        <f t="shared" ref="F69:F93" si="4">IF(D69="","",D69+30)</f>
        <v/>
      </c>
      <c r="G69" s="34" t="str">
        <f t="shared" ref="G69:G93" si="5">IF(H69="oui",I69-D69,"")</f>
        <v/>
      </c>
      <c r="H69" s="340" t="str">
        <f t="shared" ref="H69:H93" si="6">IF(I69="","","oui")</f>
        <v/>
      </c>
      <c r="I69" s="38"/>
      <c r="J69" s="37" t="str">
        <f>IF(A69="","",CONCATENATE(VLOOKUP(A69,Clients!B$3:K$702,9)))</f>
        <v/>
      </c>
      <c r="K69" s="317"/>
    </row>
    <row r="70" spans="1:11" ht="12.75" customHeight="1">
      <c r="A70" s="174"/>
      <c r="B70" s="329" t="str">
        <f>IF(A70="","",CONCATENATE(VLOOKUP(A70,Clients!B$3:K$702,2),VLOOKUP(A70,Clients!B$3:K$702,3,)))</f>
        <v/>
      </c>
      <c r="C70" s="36" t="s">
        <v>1626</v>
      </c>
      <c r="D70" s="38"/>
      <c r="E70" s="339"/>
      <c r="F70" s="38" t="str">
        <f t="shared" si="4"/>
        <v/>
      </c>
      <c r="G70" s="34" t="str">
        <f t="shared" si="5"/>
        <v/>
      </c>
      <c r="H70" s="340" t="str">
        <f t="shared" si="6"/>
        <v/>
      </c>
      <c r="I70" s="38"/>
      <c r="J70" s="37" t="str">
        <f>IF(A70="","",CONCATENATE(VLOOKUP(A70,Clients!B$3:K$702,9)))</f>
        <v/>
      </c>
      <c r="K70" s="317"/>
    </row>
    <row r="71" spans="1:11" ht="12.75" customHeight="1">
      <c r="A71" s="174"/>
      <c r="B71" s="329" t="str">
        <f>IF(A71="","",CONCATENATE(VLOOKUP(A71,Clients!B$3:K$702,2),VLOOKUP(A71,Clients!B$3:K$702,3,)))</f>
        <v/>
      </c>
      <c r="C71" s="36" t="s">
        <v>1627</v>
      </c>
      <c r="D71" s="38"/>
      <c r="E71" s="339"/>
      <c r="F71" s="38" t="str">
        <f t="shared" si="4"/>
        <v/>
      </c>
      <c r="G71" s="34" t="str">
        <f t="shared" si="5"/>
        <v/>
      </c>
      <c r="H71" s="340" t="str">
        <f t="shared" si="6"/>
        <v/>
      </c>
      <c r="I71" s="38"/>
      <c r="J71" s="37" t="str">
        <f>IF(A71="","",CONCATENATE(VLOOKUP(A71,Clients!B$3:K$702,9)))</f>
        <v/>
      </c>
      <c r="K71" s="317"/>
    </row>
    <row r="72" spans="1:11" ht="12.75" customHeight="1">
      <c r="A72" s="174"/>
      <c r="B72" s="329" t="str">
        <f>IF(A72="","",CONCATENATE(VLOOKUP(A72,Clients!B$3:K$702,2),VLOOKUP(A72,Clients!B$3:K$702,3,)))</f>
        <v/>
      </c>
      <c r="C72" s="36" t="s">
        <v>1628</v>
      </c>
      <c r="D72" s="38"/>
      <c r="E72" s="339"/>
      <c r="F72" s="38" t="str">
        <f t="shared" si="4"/>
        <v/>
      </c>
      <c r="G72" s="34" t="str">
        <f t="shared" si="5"/>
        <v/>
      </c>
      <c r="H72" s="340" t="str">
        <f t="shared" si="6"/>
        <v/>
      </c>
      <c r="I72" s="38"/>
      <c r="J72" s="37" t="str">
        <f>IF(A72="","",CONCATENATE(VLOOKUP(A72,Clients!B$3:K$702,9)))</f>
        <v/>
      </c>
      <c r="K72" s="317"/>
    </row>
    <row r="73" spans="1:11" ht="12.75" customHeight="1">
      <c r="A73" s="174"/>
      <c r="B73" s="329" t="str">
        <f>IF(A73="","",CONCATENATE(VLOOKUP(A73,Clients!B$3:K$702,2),VLOOKUP(A73,Clients!B$3:K$702,3,)))</f>
        <v/>
      </c>
      <c r="C73" s="36" t="s">
        <v>1629</v>
      </c>
      <c r="D73" s="38"/>
      <c r="E73" s="339"/>
      <c r="F73" s="38" t="str">
        <f t="shared" si="4"/>
        <v/>
      </c>
      <c r="G73" s="34" t="str">
        <f t="shared" si="5"/>
        <v/>
      </c>
      <c r="H73" s="340" t="str">
        <f t="shared" si="6"/>
        <v/>
      </c>
      <c r="I73" s="38"/>
      <c r="J73" s="37" t="str">
        <f>IF(A73="","",CONCATENATE(VLOOKUP(A73,Clients!B$3:K$702,9)))</f>
        <v/>
      </c>
      <c r="K73" s="317"/>
    </row>
    <row r="74" spans="1:11" ht="12.75" customHeight="1">
      <c r="A74" s="174"/>
      <c r="B74" s="329" t="str">
        <f>IF(A74="","",CONCATENATE(VLOOKUP(A74,Clients!B$3:K$702,2),VLOOKUP(A74,Clients!B$3:K$702,3,)))</f>
        <v/>
      </c>
      <c r="C74" s="36" t="s">
        <v>1630</v>
      </c>
      <c r="D74" s="38"/>
      <c r="E74" s="339"/>
      <c r="F74" s="38" t="str">
        <f t="shared" si="4"/>
        <v/>
      </c>
      <c r="G74" s="34" t="str">
        <f t="shared" si="5"/>
        <v/>
      </c>
      <c r="H74" s="340" t="str">
        <f t="shared" si="6"/>
        <v/>
      </c>
      <c r="I74" s="38"/>
      <c r="J74" s="37" t="str">
        <f>IF(A74="","",CONCATENATE(VLOOKUP(A74,Clients!B$3:K$702,9)))</f>
        <v/>
      </c>
      <c r="K74" s="317"/>
    </row>
    <row r="75" spans="1:11" ht="12.75" customHeight="1">
      <c r="A75" s="174"/>
      <c r="B75" s="329" t="str">
        <f>IF(A75="","",CONCATENATE(VLOOKUP(A75,Clients!B$3:K$702,2),VLOOKUP(A75,Clients!B$3:K$702,3,)))</f>
        <v/>
      </c>
      <c r="C75" s="36" t="s">
        <v>1631</v>
      </c>
      <c r="D75" s="38"/>
      <c r="E75" s="339"/>
      <c r="F75" s="38" t="str">
        <f t="shared" si="4"/>
        <v/>
      </c>
      <c r="G75" s="34" t="str">
        <f t="shared" si="5"/>
        <v/>
      </c>
      <c r="H75" s="340" t="str">
        <f t="shared" si="6"/>
        <v/>
      </c>
      <c r="I75" s="38"/>
      <c r="J75" s="37" t="str">
        <f>IF(A75="","",CONCATENATE(VLOOKUP(A75,Clients!B$3:K$702,9)))</f>
        <v/>
      </c>
      <c r="K75" s="317"/>
    </row>
    <row r="76" spans="1:11" ht="12.75" customHeight="1">
      <c r="A76" s="174"/>
      <c r="B76" s="329" t="str">
        <f>IF(A76="","",CONCATENATE(VLOOKUP(A76,Clients!B$3:K$702,2),VLOOKUP(A76,Clients!B$3:K$702,3,)))</f>
        <v/>
      </c>
      <c r="C76" s="36" t="s">
        <v>1632</v>
      </c>
      <c r="D76" s="38"/>
      <c r="E76" s="339"/>
      <c r="F76" s="38" t="str">
        <f t="shared" si="4"/>
        <v/>
      </c>
      <c r="G76" s="34" t="str">
        <f t="shared" si="5"/>
        <v/>
      </c>
      <c r="H76" s="340" t="str">
        <f t="shared" si="6"/>
        <v/>
      </c>
      <c r="I76" s="38"/>
      <c r="J76" s="37" t="str">
        <f>IF(A76="","",CONCATENATE(VLOOKUP(A76,Clients!B$3:K$702,9)))</f>
        <v/>
      </c>
      <c r="K76" s="317"/>
    </row>
    <row r="77" spans="1:11" ht="12.75" customHeight="1">
      <c r="A77" s="174"/>
      <c r="B77" s="329" t="str">
        <f>IF(A77="","",CONCATENATE(VLOOKUP(A77,Clients!B$3:K$702,2),VLOOKUP(A77,Clients!B$3:K$702,3,)))</f>
        <v/>
      </c>
      <c r="C77" s="36" t="s">
        <v>1633</v>
      </c>
      <c r="D77" s="38"/>
      <c r="E77" s="339"/>
      <c r="F77" s="38" t="str">
        <f t="shared" si="4"/>
        <v/>
      </c>
      <c r="G77" s="34" t="str">
        <f t="shared" si="5"/>
        <v/>
      </c>
      <c r="H77" s="340" t="str">
        <f t="shared" si="6"/>
        <v/>
      </c>
      <c r="I77" s="38"/>
      <c r="J77" s="37" t="str">
        <f>IF(A77="","",CONCATENATE(VLOOKUP(A77,Clients!B$3:K$702,9)))</f>
        <v/>
      </c>
      <c r="K77" s="317"/>
    </row>
    <row r="78" spans="1:11" ht="12.75" customHeight="1">
      <c r="A78" s="174"/>
      <c r="B78" s="329" t="str">
        <f>IF(A78="","",CONCATENATE(VLOOKUP(A78,Clients!B$3:K$702,2),VLOOKUP(A78,Clients!B$3:K$702,3,)))</f>
        <v/>
      </c>
      <c r="C78" s="36" t="s">
        <v>1634</v>
      </c>
      <c r="D78" s="38"/>
      <c r="E78" s="339"/>
      <c r="F78" s="38" t="str">
        <f t="shared" si="4"/>
        <v/>
      </c>
      <c r="G78" s="34" t="str">
        <f t="shared" si="5"/>
        <v/>
      </c>
      <c r="H78" s="340" t="str">
        <f t="shared" si="6"/>
        <v/>
      </c>
      <c r="I78" s="38"/>
      <c r="J78" s="37" t="str">
        <f>IF(A78="","",CONCATENATE(VLOOKUP(A78,Clients!B$3:K$702,9)))</f>
        <v/>
      </c>
      <c r="K78" s="317"/>
    </row>
    <row r="79" spans="1:11" ht="12.75" customHeight="1">
      <c r="A79" s="174"/>
      <c r="B79" s="329" t="str">
        <f>IF(A79="","",CONCATENATE(VLOOKUP(A79,Clients!B$3:K$702,2),VLOOKUP(A79,Clients!B$3:K$702,3,)))</f>
        <v/>
      </c>
      <c r="C79" s="36" t="s">
        <v>1635</v>
      </c>
      <c r="D79" s="38"/>
      <c r="E79" s="339"/>
      <c r="F79" s="38" t="str">
        <f t="shared" si="4"/>
        <v/>
      </c>
      <c r="G79" s="34" t="str">
        <f t="shared" si="5"/>
        <v/>
      </c>
      <c r="H79" s="340" t="str">
        <f t="shared" si="6"/>
        <v/>
      </c>
      <c r="I79" s="38"/>
      <c r="J79" s="37" t="str">
        <f>IF(A79="","",CONCATENATE(VLOOKUP(A79,Clients!B$3:K$702,9)))</f>
        <v/>
      </c>
      <c r="K79" s="317"/>
    </row>
    <row r="80" spans="1:11" ht="12.75" customHeight="1">
      <c r="A80" s="174"/>
      <c r="B80" s="329" t="str">
        <f>IF(A80="","",CONCATENATE(VLOOKUP(A80,Clients!B$3:K$702,2),VLOOKUP(A80,Clients!B$3:K$702,3,)))</f>
        <v/>
      </c>
      <c r="C80" s="36" t="s">
        <v>1636</v>
      </c>
      <c r="D80" s="38"/>
      <c r="E80" s="339"/>
      <c r="F80" s="38" t="str">
        <f t="shared" si="4"/>
        <v/>
      </c>
      <c r="G80" s="34" t="str">
        <f t="shared" si="5"/>
        <v/>
      </c>
      <c r="H80" s="340" t="str">
        <f t="shared" si="6"/>
        <v/>
      </c>
      <c r="I80" s="38"/>
      <c r="J80" s="37" t="str">
        <f>IF(A80="","",CONCATENATE(VLOOKUP(A80,Clients!B$3:K$702,9)))</f>
        <v/>
      </c>
      <c r="K80" s="317"/>
    </row>
    <row r="81" spans="1:18" ht="12.75" customHeight="1">
      <c r="A81" s="174"/>
      <c r="B81" s="329" t="str">
        <f>IF(A81="","",CONCATENATE(VLOOKUP(A81,Clients!B$3:K$702,2),VLOOKUP(A81,Clients!B$3:K$702,3,)))</f>
        <v/>
      </c>
      <c r="C81" s="36" t="s">
        <v>1637</v>
      </c>
      <c r="D81" s="38"/>
      <c r="E81" s="339"/>
      <c r="F81" s="38" t="str">
        <f t="shared" si="4"/>
        <v/>
      </c>
      <c r="G81" s="34" t="str">
        <f t="shared" si="5"/>
        <v/>
      </c>
      <c r="H81" s="340" t="str">
        <f t="shared" si="6"/>
        <v/>
      </c>
      <c r="I81" s="38"/>
      <c r="J81" s="37" t="str">
        <f>IF(A81="","",CONCATENATE(VLOOKUP(A81,Clients!B$3:K$702,9)))</f>
        <v/>
      </c>
      <c r="K81" s="317"/>
    </row>
    <row r="82" spans="1:18" ht="12.75" customHeight="1">
      <c r="A82" s="174"/>
      <c r="B82" s="329" t="str">
        <f>IF(A82="","",CONCATENATE(VLOOKUP(A82,Clients!B$3:K$702,2),VLOOKUP(A82,Clients!B$3:K$702,3,)))</f>
        <v/>
      </c>
      <c r="C82" s="36" t="s">
        <v>1638</v>
      </c>
      <c r="D82" s="38"/>
      <c r="E82" s="339"/>
      <c r="F82" s="38" t="str">
        <f t="shared" si="4"/>
        <v/>
      </c>
      <c r="G82" s="34" t="str">
        <f t="shared" si="5"/>
        <v/>
      </c>
      <c r="H82" s="340" t="str">
        <f t="shared" si="6"/>
        <v/>
      </c>
      <c r="I82" s="38"/>
      <c r="J82" s="37" t="str">
        <f>IF(A82="","",CONCATENATE(VLOOKUP(A82,Clients!B$3:K$702,9)))</f>
        <v/>
      </c>
      <c r="K82" s="317"/>
    </row>
    <row r="83" spans="1:18" ht="12.75" customHeight="1">
      <c r="A83" s="174"/>
      <c r="B83" s="329" t="str">
        <f>IF(A83="","",CONCATENATE(VLOOKUP(A83,Clients!B$3:K$702,2),VLOOKUP(A83,Clients!B$3:K$702,3,)))</f>
        <v/>
      </c>
      <c r="C83" s="36" t="s">
        <v>1639</v>
      </c>
      <c r="D83" s="38"/>
      <c r="E83" s="339"/>
      <c r="F83" s="38" t="str">
        <f t="shared" si="4"/>
        <v/>
      </c>
      <c r="G83" s="34" t="str">
        <f t="shared" si="5"/>
        <v/>
      </c>
      <c r="H83" s="340" t="str">
        <f t="shared" si="6"/>
        <v/>
      </c>
      <c r="I83" s="38"/>
      <c r="J83" s="37" t="str">
        <f>IF(A83="","",CONCATENATE(VLOOKUP(A83,Clients!B$3:K$702,9)))</f>
        <v/>
      </c>
      <c r="K83" s="317"/>
    </row>
    <row r="84" spans="1:18" ht="12.75" customHeight="1">
      <c r="A84" s="174"/>
      <c r="B84" s="329" t="str">
        <f>IF(A84="","",CONCATENATE(VLOOKUP(A84,Clients!B$3:K$702,2),VLOOKUP(A84,Clients!B$3:K$702,3,)))</f>
        <v/>
      </c>
      <c r="C84" s="116" t="s">
        <v>1690</v>
      </c>
      <c r="D84" s="38"/>
      <c r="E84" s="339"/>
      <c r="F84" s="38" t="str">
        <f t="shared" si="4"/>
        <v/>
      </c>
      <c r="G84" s="34" t="str">
        <f t="shared" si="5"/>
        <v/>
      </c>
      <c r="H84" s="340" t="str">
        <f t="shared" si="6"/>
        <v/>
      </c>
      <c r="I84" s="38"/>
      <c r="J84" s="37" t="str">
        <f>IF(A84="","",CONCATENATE(VLOOKUP(A84,Clients!B$3:K$702,9)))</f>
        <v/>
      </c>
      <c r="K84" s="317"/>
    </row>
    <row r="85" spans="1:18" ht="12.75" customHeight="1">
      <c r="A85" s="174"/>
      <c r="B85" s="329" t="str">
        <f>IF(A85="","",CONCATENATE(VLOOKUP(A85,Clients!B$3:K$702,2),VLOOKUP(A85,Clients!B$3:K$702,3,)))</f>
        <v/>
      </c>
      <c r="C85" s="116" t="s">
        <v>1691</v>
      </c>
      <c r="D85" s="38"/>
      <c r="E85" s="339"/>
      <c r="F85" s="38" t="str">
        <f t="shared" si="4"/>
        <v/>
      </c>
      <c r="G85" s="34" t="str">
        <f t="shared" si="5"/>
        <v/>
      </c>
      <c r="H85" s="340" t="str">
        <f t="shared" si="6"/>
        <v/>
      </c>
      <c r="I85" s="38"/>
      <c r="J85" s="37" t="str">
        <f>IF(A85="","",CONCATENATE(VLOOKUP(A85,Clients!B$3:K$702,9)))</f>
        <v/>
      </c>
      <c r="K85" s="317"/>
    </row>
    <row r="86" spans="1:18" ht="12.75" customHeight="1">
      <c r="A86" s="174"/>
      <c r="B86" s="329" t="str">
        <f>IF(A86="","",CONCATENATE(VLOOKUP(A86,Clients!B$3:K$702,2),VLOOKUP(A86,Clients!B$3:K$702,3,)))</f>
        <v/>
      </c>
      <c r="C86" s="116" t="s">
        <v>1692</v>
      </c>
      <c r="D86" s="38"/>
      <c r="E86" s="339"/>
      <c r="F86" s="38" t="str">
        <f t="shared" si="4"/>
        <v/>
      </c>
      <c r="G86" s="34" t="str">
        <f t="shared" si="5"/>
        <v/>
      </c>
      <c r="H86" s="340" t="str">
        <f t="shared" si="6"/>
        <v/>
      </c>
      <c r="I86" s="38"/>
      <c r="J86" s="37" t="str">
        <f>IF(A86="","",CONCATENATE(VLOOKUP(A86,Clients!B$3:K$702,9)))</f>
        <v/>
      </c>
      <c r="K86" s="317"/>
    </row>
    <row r="87" spans="1:18" ht="12.75" customHeight="1">
      <c r="A87" s="174"/>
      <c r="B87" s="329" t="str">
        <f>IF(A87="","",CONCATENATE(VLOOKUP(A87,Clients!B$3:K$702,2),VLOOKUP(A87,Clients!B$3:K$702,3,)))</f>
        <v/>
      </c>
      <c r="C87" s="116" t="s">
        <v>1693</v>
      </c>
      <c r="D87" s="38"/>
      <c r="E87" s="339"/>
      <c r="F87" s="38" t="str">
        <f t="shared" si="4"/>
        <v/>
      </c>
      <c r="G87" s="34" t="str">
        <f t="shared" si="5"/>
        <v/>
      </c>
      <c r="H87" s="340" t="str">
        <f t="shared" si="6"/>
        <v/>
      </c>
      <c r="I87" s="38"/>
      <c r="J87" s="37" t="str">
        <f>IF(A87="","",CONCATENATE(VLOOKUP(A87,Clients!B$3:K$702,9)))</f>
        <v/>
      </c>
      <c r="K87" s="317"/>
    </row>
    <row r="88" spans="1:18" ht="12.75" customHeight="1">
      <c r="A88" s="174"/>
      <c r="B88" s="329" t="str">
        <f>IF(A88="","",CONCATENATE(VLOOKUP(A88,Clients!B$3:K$702,2),VLOOKUP(A88,Clients!B$3:K$702,3,)))</f>
        <v/>
      </c>
      <c r="C88" s="116" t="s">
        <v>1694</v>
      </c>
      <c r="D88" s="38"/>
      <c r="E88" s="339"/>
      <c r="F88" s="38" t="str">
        <f t="shared" si="4"/>
        <v/>
      </c>
      <c r="G88" s="34" t="str">
        <f t="shared" si="5"/>
        <v/>
      </c>
      <c r="H88" s="340" t="str">
        <f t="shared" si="6"/>
        <v/>
      </c>
      <c r="I88" s="38"/>
      <c r="J88" s="37" t="str">
        <f>IF(A88="","",CONCATENATE(VLOOKUP(A88,Clients!B$3:K$702,9)))</f>
        <v/>
      </c>
      <c r="K88" s="317"/>
    </row>
    <row r="89" spans="1:18" ht="12.75" customHeight="1">
      <c r="A89" s="174"/>
      <c r="B89" s="329" t="str">
        <f>IF(A89="","",CONCATENATE(VLOOKUP(A89,Clients!B$3:K$702,2),VLOOKUP(A89,Clients!B$3:K$702,3,)))</f>
        <v/>
      </c>
      <c r="C89" s="116" t="s">
        <v>1695</v>
      </c>
      <c r="D89" s="38"/>
      <c r="E89" s="339"/>
      <c r="F89" s="38" t="str">
        <f t="shared" si="4"/>
        <v/>
      </c>
      <c r="G89" s="34" t="str">
        <f t="shared" si="5"/>
        <v/>
      </c>
      <c r="H89" s="340" t="str">
        <f t="shared" si="6"/>
        <v/>
      </c>
      <c r="I89" s="38"/>
      <c r="J89" s="37" t="str">
        <f>IF(A89="","",CONCATENATE(VLOOKUP(A89,Clients!B$3:K$702,9)))</f>
        <v/>
      </c>
      <c r="K89" s="317"/>
    </row>
    <row r="90" spans="1:18" ht="12.75" customHeight="1">
      <c r="A90" s="174"/>
      <c r="B90" s="329" t="str">
        <f>IF(A90="","",CONCATENATE(VLOOKUP(A90,Clients!B$3:K$702,2),VLOOKUP(A90,Clients!B$3:K$702,3,)))</f>
        <v/>
      </c>
      <c r="C90" s="116" t="s">
        <v>1696</v>
      </c>
      <c r="D90" s="38"/>
      <c r="E90" s="339"/>
      <c r="F90" s="38" t="str">
        <f t="shared" si="4"/>
        <v/>
      </c>
      <c r="G90" s="34" t="str">
        <f t="shared" si="5"/>
        <v/>
      </c>
      <c r="H90" s="340" t="str">
        <f t="shared" si="6"/>
        <v/>
      </c>
      <c r="I90" s="38"/>
      <c r="J90" s="37" t="str">
        <f>IF(A90="","",CONCATENATE(VLOOKUP(A90,Clients!B$3:K$702,9)))</f>
        <v/>
      </c>
      <c r="K90" s="317"/>
    </row>
    <row r="91" spans="1:18" ht="12.75" customHeight="1">
      <c r="A91" s="174"/>
      <c r="B91" s="329" t="str">
        <f>IF(A91="","",CONCATENATE(VLOOKUP(A91,Clients!B$3:K$702,2),VLOOKUP(A91,Clients!B$3:K$702,3,)))</f>
        <v/>
      </c>
      <c r="C91" s="116" t="s">
        <v>1697</v>
      </c>
      <c r="D91" s="38"/>
      <c r="E91" s="339"/>
      <c r="F91" s="38" t="str">
        <f t="shared" si="4"/>
        <v/>
      </c>
      <c r="G91" s="34" t="str">
        <f t="shared" si="5"/>
        <v/>
      </c>
      <c r="H91" s="340" t="str">
        <f t="shared" si="6"/>
        <v/>
      </c>
      <c r="I91" s="38"/>
      <c r="J91" s="37" t="str">
        <f>IF(A91="","",CONCATENATE(VLOOKUP(A91,Clients!B$3:K$702,9)))</f>
        <v/>
      </c>
      <c r="K91" s="317"/>
    </row>
    <row r="92" spans="1:18" ht="12.75" customHeight="1">
      <c r="A92" s="174"/>
      <c r="B92" s="329" t="str">
        <f>IF(A92="","",CONCATENATE(VLOOKUP(A92,Clients!B$3:K$702,2),VLOOKUP(A92,Clients!B$3:K$702,3,)))</f>
        <v/>
      </c>
      <c r="C92" s="116" t="s">
        <v>1698</v>
      </c>
      <c r="D92" s="38"/>
      <c r="E92" s="339"/>
      <c r="F92" s="38" t="str">
        <f t="shared" si="4"/>
        <v/>
      </c>
      <c r="G92" s="34" t="str">
        <f t="shared" si="5"/>
        <v/>
      </c>
      <c r="H92" s="340" t="str">
        <f t="shared" si="6"/>
        <v/>
      </c>
      <c r="I92" s="38"/>
      <c r="J92" s="37" t="str">
        <f>IF(A92="","",CONCATENATE(VLOOKUP(A92,Clients!B$3:K$702,9)))</f>
        <v/>
      </c>
      <c r="K92" s="317"/>
    </row>
    <row r="93" spans="1:18" ht="12.75" customHeight="1">
      <c r="A93" s="174"/>
      <c r="B93" s="329" t="str">
        <f>IF(A93="","",CONCATENATE(VLOOKUP(A93,Clients!B$3:K$702,2),VLOOKUP(A93,Clients!B$3:K$702,3,)))</f>
        <v/>
      </c>
      <c r="C93" s="116" t="s">
        <v>1699</v>
      </c>
      <c r="D93" s="38"/>
      <c r="E93" s="339"/>
      <c r="F93" s="38" t="str">
        <f t="shared" si="4"/>
        <v/>
      </c>
      <c r="G93" s="34" t="str">
        <f t="shared" si="5"/>
        <v/>
      </c>
      <c r="H93" s="340" t="str">
        <f t="shared" si="6"/>
        <v/>
      </c>
      <c r="I93" s="38"/>
      <c r="J93" s="37" t="str">
        <f>IF(A93="","",CONCATENATE(VLOOKUP(A93,Clients!B$3:K$702,9)))</f>
        <v/>
      </c>
      <c r="K93" s="317"/>
    </row>
    <row r="94" spans="1:18" ht="12.75" customHeight="1">
      <c r="A94" s="8"/>
      <c r="B94" s="82"/>
      <c r="C94" s="8"/>
      <c r="D94" s="8"/>
      <c r="E94" s="8"/>
      <c r="F94" s="8"/>
      <c r="G94" s="8"/>
      <c r="H94" s="8"/>
      <c r="I94" s="8"/>
      <c r="J94" s="8"/>
      <c r="K94" s="8"/>
      <c r="L94" s="8"/>
    </row>
    <row r="95" spans="1:18" ht="36.950000000000003" customHeight="1">
      <c r="A95" s="455" t="s">
        <v>1403</v>
      </c>
      <c r="B95" s="455"/>
      <c r="C95" s="455"/>
      <c r="D95" s="455"/>
      <c r="E95" s="455"/>
      <c r="F95" s="455"/>
      <c r="G95" s="455"/>
      <c r="H95" s="455"/>
      <c r="I95" s="455"/>
      <c r="J95" s="455"/>
      <c r="K95" s="455"/>
      <c r="L95" s="328"/>
      <c r="M95" s="328"/>
      <c r="N95" s="328"/>
      <c r="O95" s="328"/>
      <c r="P95" s="329" t="s">
        <v>1306</v>
      </c>
      <c r="Q95" s="329" t="s">
        <v>1312</v>
      </c>
      <c r="R95" s="330" t="s">
        <v>1313</v>
      </c>
    </row>
    <row r="96" spans="1:18" ht="12.75" customHeight="1">
      <c r="A96" s="10" t="s">
        <v>1315</v>
      </c>
      <c r="B96" s="10" t="s">
        <v>1307</v>
      </c>
      <c r="C96" s="10" t="s">
        <v>1301</v>
      </c>
      <c r="D96" s="10" t="s">
        <v>1302</v>
      </c>
      <c r="E96" s="331" t="s">
        <v>1303</v>
      </c>
      <c r="F96" s="10" t="s">
        <v>1310</v>
      </c>
      <c r="G96" s="10" t="s">
        <v>1314</v>
      </c>
      <c r="H96" s="10" t="s">
        <v>1306</v>
      </c>
      <c r="I96" s="10" t="s">
        <v>1309</v>
      </c>
      <c r="J96" s="10" t="s">
        <v>1304</v>
      </c>
      <c r="K96" s="10" t="s">
        <v>1305</v>
      </c>
      <c r="M96" s="332" t="s">
        <v>817</v>
      </c>
      <c r="N96" s="333">
        <v>42370</v>
      </c>
      <c r="O96" s="333">
        <v>42400</v>
      </c>
      <c r="P96" s="334">
        <f>SUMPRODUCT((D97:D176&gt;=N96)*(D97:D176&lt;=O96)*(H97:H176="oui")*E97:E176)</f>
        <v>11519.68</v>
      </c>
      <c r="Q96" s="335">
        <f>R96-P96</f>
        <v>0</v>
      </c>
      <c r="R96" s="336">
        <f>SUMPRODUCT((D97:D176&gt;=N96)*(D97:D176&lt;=O96)*E97:E176)</f>
        <v>11519.68</v>
      </c>
    </row>
    <row r="97" spans="1:18" ht="12.75" customHeight="1">
      <c r="A97" s="174">
        <v>492</v>
      </c>
      <c r="B97" s="329" t="str">
        <f>IF(A97="","",CONCATENATE(VLOOKUP(A97,Clients!B$3:K796,2),VLOOKUP(A97,Clients!B$3:K796,3,)))</f>
        <v>VOLKSWAGEN</v>
      </c>
      <c r="C97" s="36" t="s">
        <v>1404</v>
      </c>
      <c r="D97" s="38">
        <v>42399</v>
      </c>
      <c r="E97" s="339">
        <v>715</v>
      </c>
      <c r="F97" s="38">
        <f>IF(D97="","",D97+30)</f>
        <v>42429</v>
      </c>
      <c r="G97" s="34">
        <f>IF(H97="oui",I97-D97,"")</f>
        <v>18</v>
      </c>
      <c r="H97" s="340" t="str">
        <f>IF(I97="","","oui")</f>
        <v>oui</v>
      </c>
      <c r="I97" s="38">
        <v>42417</v>
      </c>
      <c r="J97" s="37" t="str">
        <f>IF($L97="","",CONCATENATE(VLOOKUP(A97,Clients!B$3:K$702,9)))</f>
        <v/>
      </c>
      <c r="K97" s="317"/>
      <c r="M97" s="341" t="s">
        <v>1311</v>
      </c>
      <c r="N97" s="342">
        <v>42401</v>
      </c>
      <c r="O97" s="342">
        <v>42429</v>
      </c>
      <c r="P97" s="334">
        <f>SUMPRODUCT((D97:D176&gt;=N97)*(D97:D176&lt;=O97)*(H97:H176="oui")*E97:E176)</f>
        <v>3361.15</v>
      </c>
      <c r="Q97" s="335">
        <f t="shared" ref="Q97:Q107" si="7">R97-P97</f>
        <v>0</v>
      </c>
      <c r="R97" s="336">
        <f>SUMPRODUCT((D97:D176&gt;=N97)*(D97:D176&lt;=O97)*E97:E176)</f>
        <v>3361.15</v>
      </c>
    </row>
    <row r="98" spans="1:18" ht="12.75" customHeight="1">
      <c r="A98" s="174">
        <v>75</v>
      </c>
      <c r="B98" s="329" t="str">
        <f>IF(A98="","",CONCATENATE(VLOOKUP(A98,Clients!B$3:K797,2),VLOOKUP(A98,Clients!B$3:K797,3,)))</f>
        <v>MR COLLE</v>
      </c>
      <c r="C98" s="36" t="s">
        <v>1405</v>
      </c>
      <c r="D98" s="38">
        <v>42399</v>
      </c>
      <c r="E98" s="339">
        <v>2000</v>
      </c>
      <c r="F98" s="38">
        <f t="shared" ref="F98:F161" si="8">IF(D98="","",D98+30)</f>
        <v>42429</v>
      </c>
      <c r="G98" s="34">
        <f t="shared" ref="G98:G161" si="9">IF(H98="oui",I98-D98,"")</f>
        <v>0</v>
      </c>
      <c r="H98" s="340" t="str">
        <f t="shared" ref="H98:H161" si="10">IF(I98="","","oui")</f>
        <v>oui</v>
      </c>
      <c r="I98" s="38">
        <v>42399</v>
      </c>
      <c r="J98" s="37" t="str">
        <f>IF($L98="","",CONCATENATE(VLOOKUP(A98,Clients!B$3:K$702,9)))</f>
        <v/>
      </c>
      <c r="K98" s="317"/>
      <c r="M98" s="332" t="s">
        <v>819</v>
      </c>
      <c r="N98" s="333">
        <v>42430</v>
      </c>
      <c r="O98" s="333">
        <v>42460</v>
      </c>
      <c r="P98" s="334">
        <f>SUMPRODUCT((D97:D176&gt;=N98)*(D97:D176&lt;=O98)*(H97:H176="oui")*E97:E176)</f>
        <v>14260.33</v>
      </c>
      <c r="Q98" s="335">
        <f t="shared" si="7"/>
        <v>0</v>
      </c>
      <c r="R98" s="336">
        <f>SUMPRODUCT((D97:D176&gt;=N98)*(D97:D176&lt;=O98)*E97:E176)</f>
        <v>14260.33</v>
      </c>
    </row>
    <row r="99" spans="1:18" ht="12.75" customHeight="1">
      <c r="A99" s="174">
        <v>355</v>
      </c>
      <c r="B99" s="329" t="str">
        <f>IF(A99="","",CONCATENATE(VLOOKUP(A99,Clients!B$3:K798,2),VLOOKUP(A99,Clients!B$3:K798,3,)))</f>
        <v>Mr SICAUD</v>
      </c>
      <c r="C99" s="36" t="s">
        <v>1406</v>
      </c>
      <c r="D99" s="38">
        <v>42399</v>
      </c>
      <c r="E99" s="339">
        <v>3000</v>
      </c>
      <c r="F99" s="38">
        <f t="shared" si="8"/>
        <v>42429</v>
      </c>
      <c r="G99" s="34">
        <f t="shared" si="9"/>
        <v>-18</v>
      </c>
      <c r="H99" s="340" t="str">
        <f t="shared" si="10"/>
        <v>oui</v>
      </c>
      <c r="I99" s="38">
        <v>42381</v>
      </c>
      <c r="J99" s="37" t="str">
        <f>IF($L99="","",CONCATENATE(VLOOKUP(A99,Clients!B$3:K$702,9)))</f>
        <v/>
      </c>
      <c r="K99" s="317"/>
      <c r="M99" s="332" t="s">
        <v>820</v>
      </c>
      <c r="N99" s="333">
        <v>42461</v>
      </c>
      <c r="O99" s="333">
        <v>42490</v>
      </c>
      <c r="P99" s="334">
        <f>SUMPRODUCT((D97:D176&gt;=N99)*(D97:D176&lt;=O99)*(H97:H176="oui")*E97:E176)</f>
        <v>0</v>
      </c>
      <c r="Q99" s="335">
        <f t="shared" si="7"/>
        <v>0</v>
      </c>
      <c r="R99" s="336">
        <f>SUMPRODUCT((D97:D176&gt;=N99)*(D97:D176&lt;=O99)*E97:E176)</f>
        <v>0</v>
      </c>
    </row>
    <row r="100" spans="1:18" ht="12.75" customHeight="1">
      <c r="A100" s="174">
        <v>478</v>
      </c>
      <c r="B100" s="329" t="str">
        <f>IF(A100="","",CONCATENATE(VLOOKUP(A100,Clients!B$3:K799,2),VLOOKUP(A100,Clients!B$3:K799,3,)))</f>
        <v>SECTEUR PASTORAL DE SAINTES</v>
      </c>
      <c r="C100" s="36" t="s">
        <v>1407</v>
      </c>
      <c r="D100" s="38">
        <v>42399</v>
      </c>
      <c r="E100" s="339">
        <v>4812.1000000000004</v>
      </c>
      <c r="F100" s="38">
        <f t="shared" si="8"/>
        <v>42429</v>
      </c>
      <c r="G100" s="34">
        <f t="shared" si="9"/>
        <v>25</v>
      </c>
      <c r="H100" s="340" t="str">
        <f t="shared" si="10"/>
        <v>oui</v>
      </c>
      <c r="I100" s="38">
        <v>42424</v>
      </c>
      <c r="J100" s="37" t="str">
        <f>IF($L100="","",CONCATENATE(VLOOKUP(A100,Clients!B$3:K$702,9)))</f>
        <v/>
      </c>
      <c r="K100" s="317"/>
      <c r="M100" s="341" t="s">
        <v>821</v>
      </c>
      <c r="N100" s="342">
        <v>42491</v>
      </c>
      <c r="O100" s="342">
        <v>42521</v>
      </c>
      <c r="P100" s="334">
        <f>SUMPRODUCT((D97:D176&gt;=N100)*(D97:D176&lt;=O100)*(H97:H176="oui")*E97:E176)</f>
        <v>7721.42</v>
      </c>
      <c r="Q100" s="335">
        <f t="shared" si="7"/>
        <v>0</v>
      </c>
      <c r="R100" s="336">
        <f>SUMPRODUCT((D97:D176&gt;=N100)*(D97:D176&lt;=O100)*E97:E176)</f>
        <v>7721.42</v>
      </c>
    </row>
    <row r="101" spans="1:18" ht="12.75" customHeight="1">
      <c r="A101" s="174">
        <v>360</v>
      </c>
      <c r="B101" s="329" t="str">
        <f>IF(A101="","",CONCATENATE(VLOOKUP(A101,Clients!B$3:K800,2),VLOOKUP(A101,Clients!B$3:K800,3,)))</f>
        <v>Mme GAINVILLE</v>
      </c>
      <c r="C101" s="36" t="s">
        <v>1408</v>
      </c>
      <c r="D101" s="38">
        <v>42399</v>
      </c>
      <c r="E101" s="339">
        <v>857.84</v>
      </c>
      <c r="F101" s="38">
        <f t="shared" si="8"/>
        <v>42429</v>
      </c>
      <c r="G101" s="34">
        <f t="shared" si="9"/>
        <v>18</v>
      </c>
      <c r="H101" s="340" t="str">
        <f t="shared" si="10"/>
        <v>oui</v>
      </c>
      <c r="I101" s="38">
        <v>42417</v>
      </c>
      <c r="J101" s="37" t="str">
        <f>IF($L101="","",CONCATENATE(VLOOKUP(A101,Clients!B$3:K$702,9)))</f>
        <v/>
      </c>
      <c r="K101" s="317"/>
      <c r="M101" s="332" t="s">
        <v>822</v>
      </c>
      <c r="N101" s="333">
        <v>42522</v>
      </c>
      <c r="O101" s="333">
        <v>42551</v>
      </c>
      <c r="P101" s="334">
        <f>SUMPRODUCT((D97:D176&gt;=N101)*(D97:D176&lt;=O101)*(H97:H176="oui")*E97:E176)</f>
        <v>2032.15</v>
      </c>
      <c r="Q101" s="335">
        <f t="shared" si="7"/>
        <v>0</v>
      </c>
      <c r="R101" s="336">
        <f>SUMPRODUCT((D97:D176&gt;=N101)*(D97:D176&lt;=O101)*E97:E176)</f>
        <v>2032.15</v>
      </c>
    </row>
    <row r="102" spans="1:18" ht="12.75" customHeight="1">
      <c r="A102" s="174">
        <v>496</v>
      </c>
      <c r="B102" s="329" t="str">
        <f>IF(A102="","",CONCATENATE(VLOOKUP(A102,Clients!B$3:K801,2),VLOOKUP(A102,Clients!B$3:K801,3,)))</f>
        <v>Mr et Mme QUENTIN</v>
      </c>
      <c r="C102" s="36" t="s">
        <v>1409</v>
      </c>
      <c r="D102" s="38">
        <v>42399</v>
      </c>
      <c r="E102" s="339">
        <v>134.74</v>
      </c>
      <c r="F102" s="38">
        <f t="shared" si="8"/>
        <v>42429</v>
      </c>
      <c r="G102" s="34">
        <f t="shared" si="9"/>
        <v>25</v>
      </c>
      <c r="H102" s="340" t="str">
        <f t="shared" si="10"/>
        <v>oui</v>
      </c>
      <c r="I102" s="38">
        <v>42424</v>
      </c>
      <c r="J102" s="37" t="str">
        <f>IF($L102="","",CONCATENATE(VLOOKUP(A102,Clients!B$3:K$702,9)))</f>
        <v/>
      </c>
      <c r="K102" s="317"/>
      <c r="M102" s="332" t="s">
        <v>823</v>
      </c>
      <c r="N102" s="333">
        <v>42552</v>
      </c>
      <c r="O102" s="333">
        <v>42582</v>
      </c>
      <c r="P102" s="334">
        <f>SUMPRODUCT((D97:D176&gt;=N102)*(D97:D176&lt;=O102)*(H97:H176="oui")*E97:E176)</f>
        <v>6731.0000000000009</v>
      </c>
      <c r="Q102" s="335">
        <f t="shared" si="7"/>
        <v>0</v>
      </c>
      <c r="R102" s="336">
        <f>SUMPRODUCT((D97:D176&gt;=N102)*(D97:D176&lt;=O102)*E97:E176)</f>
        <v>6731.0000000000009</v>
      </c>
    </row>
    <row r="103" spans="1:18" ht="12.75" customHeight="1">
      <c r="A103" s="174">
        <v>492</v>
      </c>
      <c r="B103" s="329" t="str">
        <f>IF(A103="","",CONCATENATE(VLOOKUP(A103,Clients!B$3:K802,2),VLOOKUP(A103,Clients!B$3:K802,3,)))</f>
        <v>VOLKSWAGEN</v>
      </c>
      <c r="C103" s="36" t="s">
        <v>1410</v>
      </c>
      <c r="D103" s="38">
        <v>42417</v>
      </c>
      <c r="E103" s="339">
        <v>-715</v>
      </c>
      <c r="F103" s="38">
        <f t="shared" si="8"/>
        <v>42447</v>
      </c>
      <c r="G103" s="34">
        <f t="shared" si="9"/>
        <v>0</v>
      </c>
      <c r="H103" s="340" t="str">
        <f t="shared" si="10"/>
        <v>oui</v>
      </c>
      <c r="I103" s="38">
        <v>42417</v>
      </c>
      <c r="J103" s="37" t="str">
        <f>IF($L103="","",CONCATENATE(VLOOKUP(A103,Clients!B$3:K$702,9)))</f>
        <v/>
      </c>
      <c r="K103" s="317"/>
      <c r="M103" s="341" t="s">
        <v>824</v>
      </c>
      <c r="N103" s="342">
        <v>42583</v>
      </c>
      <c r="O103" s="342">
        <v>42613</v>
      </c>
      <c r="P103" s="334">
        <f>SUMPRODUCT((D97:D176&gt;=N103)*(D97:D176&lt;=O103)*(H97:H176="oui")*E97:E176)</f>
        <v>6026.4299999999994</v>
      </c>
      <c r="Q103" s="335">
        <f t="shared" si="7"/>
        <v>4383.0099999999993</v>
      </c>
      <c r="R103" s="336">
        <f>SUMPRODUCT((D97:D176&gt;=N103)*(D97:D176&lt;=O103)*E97:E176)</f>
        <v>10409.439999999999</v>
      </c>
    </row>
    <row r="104" spans="1:18" ht="12.75" customHeight="1">
      <c r="A104" s="174">
        <v>492</v>
      </c>
      <c r="B104" s="329" t="str">
        <f>IF(A104="","",CONCATENATE(VLOOKUP(A104,Clients!B$3:K803,2),VLOOKUP(A104,Clients!B$3:K803,3,)))</f>
        <v>VOLKSWAGEN</v>
      </c>
      <c r="C104" s="36" t="s">
        <v>1411</v>
      </c>
      <c r="D104" s="38">
        <v>42417</v>
      </c>
      <c r="E104" s="339">
        <v>780</v>
      </c>
      <c r="F104" s="38">
        <f t="shared" si="8"/>
        <v>42447</v>
      </c>
      <c r="G104" s="34">
        <f t="shared" si="9"/>
        <v>164</v>
      </c>
      <c r="H104" s="340" t="str">
        <f t="shared" si="10"/>
        <v>oui</v>
      </c>
      <c r="I104" s="38">
        <v>42581</v>
      </c>
      <c r="J104" s="37" t="str">
        <f>IF($L104="","",CONCATENATE(VLOOKUP(A104,Clients!B$3:K$702,9)))</f>
        <v/>
      </c>
      <c r="K104" s="317"/>
      <c r="M104" s="332" t="s">
        <v>813</v>
      </c>
      <c r="N104" s="333">
        <v>42614</v>
      </c>
      <c r="O104" s="333">
        <v>42643</v>
      </c>
      <c r="P104" s="334">
        <f>SUMPRODUCT((D97:D176&gt;=N104)*(D97:D176&lt;=O104)*(H97:H176="oui")*E97:E176)</f>
        <v>11602.16</v>
      </c>
      <c r="Q104" s="335">
        <f t="shared" si="7"/>
        <v>0</v>
      </c>
      <c r="R104" s="336">
        <f>SUMPRODUCT((D97:D176&gt;=N104)*(D97:D176&lt;=O104)*E97:E176)</f>
        <v>11602.16</v>
      </c>
    </row>
    <row r="105" spans="1:18" ht="12.75" customHeight="1">
      <c r="A105" s="174">
        <v>192</v>
      </c>
      <c r="B105" s="329" t="str">
        <f>IF(A105="","",CONCATENATE(VLOOKUP(A105,Clients!B$3:K804,2),VLOOKUP(A105,Clients!B$3:K804,3,)))</f>
        <v xml:space="preserve">Mr et Mme RENOUD </v>
      </c>
      <c r="C105" s="36" t="s">
        <v>1412</v>
      </c>
      <c r="D105" s="38">
        <v>42424</v>
      </c>
      <c r="E105" s="339">
        <v>3296.15</v>
      </c>
      <c r="F105" s="38">
        <f t="shared" si="8"/>
        <v>42454</v>
      </c>
      <c r="G105" s="34">
        <f t="shared" si="9"/>
        <v>99</v>
      </c>
      <c r="H105" s="340" t="str">
        <f t="shared" si="10"/>
        <v>oui</v>
      </c>
      <c r="I105" s="38">
        <v>42523</v>
      </c>
      <c r="J105" s="37" t="str">
        <f>IF($L105="","",CONCATENATE(VLOOKUP(A105,Clients!B$3:K$702,9)))</f>
        <v/>
      </c>
      <c r="K105" s="317"/>
      <c r="M105" s="332" t="s">
        <v>814</v>
      </c>
      <c r="N105" s="333">
        <v>42644</v>
      </c>
      <c r="O105" s="333">
        <v>42674</v>
      </c>
      <c r="P105" s="334">
        <f>SUMPRODUCT((D97:D176&gt;=N105)*(D97:D176&lt;=O105)*(H97:H176="oui")*E97:E176)</f>
        <v>14299.29</v>
      </c>
      <c r="Q105" s="335">
        <f t="shared" si="7"/>
        <v>0</v>
      </c>
      <c r="R105" s="336">
        <f>SUMPRODUCT((D97:D176&gt;=N105)*(D97:D176&lt;=O105)*E97:E176)</f>
        <v>14299.29</v>
      </c>
    </row>
    <row r="106" spans="1:18" ht="12.75" customHeight="1">
      <c r="A106" s="174">
        <v>497</v>
      </c>
      <c r="B106" s="329" t="str">
        <f>IF(A106="","",CONCATENATE(VLOOKUP(A106,Clients!B$3:K805,2),VLOOKUP(A106,Clients!B$3:K805,3,)))</f>
        <v>Mr SALIERNO</v>
      </c>
      <c r="C106" s="36" t="s">
        <v>1413</v>
      </c>
      <c r="D106" s="38">
        <v>42460</v>
      </c>
      <c r="E106" s="339">
        <v>839.52</v>
      </c>
      <c r="F106" s="38">
        <f t="shared" si="8"/>
        <v>42490</v>
      </c>
      <c r="G106" s="34">
        <f t="shared" si="9"/>
        <v>-6</v>
      </c>
      <c r="H106" s="340" t="str">
        <f t="shared" si="10"/>
        <v>oui</v>
      </c>
      <c r="I106" s="38">
        <v>42454</v>
      </c>
      <c r="J106" s="37" t="str">
        <f>IF($L106="","",CONCATENATE(VLOOKUP(A106,Clients!B$3:K$702,9)))</f>
        <v/>
      </c>
      <c r="K106" s="317"/>
      <c r="M106" s="341" t="s">
        <v>815</v>
      </c>
      <c r="N106" s="342">
        <v>42675</v>
      </c>
      <c r="O106" s="342">
        <v>42704</v>
      </c>
      <c r="P106" s="334">
        <f>SUMPRODUCT((D97:D176&gt;=N106)*(D97:D176&lt;=O106)*(H97:H176="oui")*E97:E176)</f>
        <v>15406.23</v>
      </c>
      <c r="Q106" s="335">
        <f t="shared" si="7"/>
        <v>10589.480000000003</v>
      </c>
      <c r="R106" s="336">
        <f>SUMPRODUCT((D97:D176&gt;=N106)*(D97:D176&lt;=O106)*E97:E176)</f>
        <v>25995.710000000003</v>
      </c>
    </row>
    <row r="107" spans="1:18" ht="12.75" customHeight="1">
      <c r="A107" s="174">
        <v>323</v>
      </c>
      <c r="B107" s="329" t="str">
        <f>IF(A107="","",CONCATENATE(VLOOKUP(A107,Clients!B$3:K806,2),VLOOKUP(A107,Clients!B$3:K806,3,)))</f>
        <v>Mme JEAN</v>
      </c>
      <c r="C107" s="36" t="s">
        <v>1414</v>
      </c>
      <c r="D107" s="38">
        <v>42460</v>
      </c>
      <c r="E107" s="339">
        <v>1018.46</v>
      </c>
      <c r="F107" s="38">
        <f t="shared" si="8"/>
        <v>42490</v>
      </c>
      <c r="G107" s="34">
        <f t="shared" si="9"/>
        <v>24</v>
      </c>
      <c r="H107" s="340" t="str">
        <f t="shared" si="10"/>
        <v>oui</v>
      </c>
      <c r="I107" s="38">
        <v>42484</v>
      </c>
      <c r="J107" s="37" t="str">
        <f>IF($L107="","",CONCATENATE(VLOOKUP(A107,Clients!B$3:K$702,9)))</f>
        <v/>
      </c>
      <c r="K107" s="317"/>
      <c r="M107" s="332" t="s">
        <v>816</v>
      </c>
      <c r="N107" s="333">
        <v>42705</v>
      </c>
      <c r="O107" s="333">
        <v>42735</v>
      </c>
      <c r="P107" s="334">
        <f>SUMPRODUCT((D97:D176&gt;=N107)*(D97:D176&lt;=O107)*(H97:H176="oui")*E97:E176)</f>
        <v>11577.6</v>
      </c>
      <c r="Q107" s="335">
        <f t="shared" si="7"/>
        <v>0</v>
      </c>
      <c r="R107" s="336">
        <f>SUMPRODUCT((D97:D176&gt;=N107)*(D97:D176&lt;=O107)*E97:E176)</f>
        <v>11577.6</v>
      </c>
    </row>
    <row r="108" spans="1:18" ht="12.75" customHeight="1">
      <c r="A108" s="174">
        <v>471</v>
      </c>
      <c r="B108" s="329" t="str">
        <f>IF(A108="","",CONCATENATE(VLOOKUP(A108,Clients!B$3:K807,2),VLOOKUP(A108,Clients!B$3:K807,3,)))</f>
        <v>Mr JAGUENAUD</v>
      </c>
      <c r="C108" s="36" t="s">
        <v>1415</v>
      </c>
      <c r="D108" s="38">
        <v>42460</v>
      </c>
      <c r="E108" s="339">
        <v>8656.74</v>
      </c>
      <c r="F108" s="38">
        <f t="shared" si="8"/>
        <v>42490</v>
      </c>
      <c r="G108" s="34">
        <f t="shared" si="9"/>
        <v>74</v>
      </c>
      <c r="H108" s="340" t="str">
        <f t="shared" si="10"/>
        <v>oui</v>
      </c>
      <c r="I108" s="38">
        <v>42534</v>
      </c>
      <c r="J108" s="37" t="str">
        <f>IF($L108="","",CONCATENATE(VLOOKUP(A108,Clients!B$3:K$702,9)))</f>
        <v/>
      </c>
      <c r="K108" s="317"/>
    </row>
    <row r="109" spans="1:18" ht="12.75" customHeight="1">
      <c r="A109" s="174">
        <v>492</v>
      </c>
      <c r="B109" s="329" t="str">
        <f>IF(A109="","",CONCATENATE(VLOOKUP(A109,Clients!B$3:K808,2),VLOOKUP(A109,Clients!B$3:K808,3,)))</f>
        <v>VOLKSWAGEN</v>
      </c>
      <c r="C109" s="36" t="s">
        <v>1416</v>
      </c>
      <c r="D109" s="38">
        <v>42460</v>
      </c>
      <c r="E109" s="339">
        <v>1057.71</v>
      </c>
      <c r="F109" s="38">
        <f t="shared" si="8"/>
        <v>42490</v>
      </c>
      <c r="G109" s="34">
        <f t="shared" si="9"/>
        <v>121</v>
      </c>
      <c r="H109" s="340" t="str">
        <f t="shared" si="10"/>
        <v>oui</v>
      </c>
      <c r="I109" s="38">
        <v>42581</v>
      </c>
      <c r="J109" s="37" t="str">
        <f>IF($L109="","",CONCATENATE(VLOOKUP(A109,Clients!B$3:K$702,9)))</f>
        <v/>
      </c>
      <c r="K109" s="317"/>
      <c r="P109" s="334">
        <f>SUM(P96:P107)</f>
        <v>104537.44000000002</v>
      </c>
      <c r="Q109" s="335">
        <f>SUM(Q96:Q107)</f>
        <v>14972.490000000002</v>
      </c>
      <c r="R109" s="343">
        <f>SUM(R96:R107)</f>
        <v>119509.93000000001</v>
      </c>
    </row>
    <row r="110" spans="1:18" ht="12.75" customHeight="1">
      <c r="A110" s="174">
        <v>492</v>
      </c>
      <c r="B110" s="329" t="str">
        <f>IF(A110="","",CONCATENATE(VLOOKUP(A110,Clients!B$3:K809,2),VLOOKUP(A110,Clients!B$3:K809,3,)))</f>
        <v>VOLKSWAGEN</v>
      </c>
      <c r="C110" s="36" t="s">
        <v>1417</v>
      </c>
      <c r="D110" s="38">
        <v>42460</v>
      </c>
      <c r="E110" s="339">
        <v>1342.61</v>
      </c>
      <c r="F110" s="38">
        <f t="shared" si="8"/>
        <v>42490</v>
      </c>
      <c r="G110" s="34">
        <f t="shared" si="9"/>
        <v>121</v>
      </c>
      <c r="H110" s="340" t="str">
        <f t="shared" si="10"/>
        <v>oui</v>
      </c>
      <c r="I110" s="38">
        <v>42581</v>
      </c>
      <c r="J110" s="37" t="str">
        <f>IF($L110="","",CONCATENATE(VLOOKUP(A110,Clients!B$3:K$702,9)))</f>
        <v/>
      </c>
      <c r="K110" s="317"/>
    </row>
    <row r="111" spans="1:18" ht="12.75" customHeight="1">
      <c r="A111" s="174">
        <v>422</v>
      </c>
      <c r="B111" s="329" t="str">
        <f>IF(A111="","",CONCATENATE(VLOOKUP(A111,Clients!B$3:K810,2),VLOOKUP(A111,Clients!B$3:K810,3,)))</f>
        <v>Mr et Mme LASTERNAS</v>
      </c>
      <c r="C111" s="36" t="s">
        <v>1418</v>
      </c>
      <c r="D111" s="38">
        <v>42460</v>
      </c>
      <c r="E111" s="339">
        <v>251.47</v>
      </c>
      <c r="F111" s="38">
        <f t="shared" si="8"/>
        <v>42490</v>
      </c>
      <c r="G111" s="34">
        <f t="shared" si="9"/>
        <v>166</v>
      </c>
      <c r="H111" s="340" t="str">
        <f t="shared" si="10"/>
        <v>oui</v>
      </c>
      <c r="I111" s="38">
        <v>42626</v>
      </c>
      <c r="J111" s="37" t="str">
        <f>IF($L111="","",CONCATENATE(VLOOKUP(A111,Clients!B$3:K$702,9)))</f>
        <v/>
      </c>
      <c r="K111" s="317"/>
    </row>
    <row r="112" spans="1:18" ht="12.75" customHeight="1">
      <c r="A112" s="174">
        <v>422</v>
      </c>
      <c r="B112" s="329" t="str">
        <f>IF(A112="","",CONCATENATE(VLOOKUP(A112,Clients!B$3:K811,2),VLOOKUP(A112,Clients!B$3:K811,3,)))</f>
        <v>Mr et Mme LASTERNAS</v>
      </c>
      <c r="C112" s="36" t="s">
        <v>1419</v>
      </c>
      <c r="D112" s="38">
        <v>42460</v>
      </c>
      <c r="E112" s="339">
        <v>1093.82</v>
      </c>
      <c r="F112" s="38">
        <f t="shared" si="8"/>
        <v>42490</v>
      </c>
      <c r="G112" s="34">
        <f t="shared" si="9"/>
        <v>166</v>
      </c>
      <c r="H112" s="340" t="str">
        <f t="shared" si="10"/>
        <v>oui</v>
      </c>
      <c r="I112" s="38">
        <v>42626</v>
      </c>
      <c r="J112" s="37" t="str">
        <f>IF($L112="","",CONCATENATE(VLOOKUP(A112,Clients!B$3:K$702,9)))</f>
        <v/>
      </c>
      <c r="K112" s="317"/>
    </row>
    <row r="113" spans="1:14" ht="12.75" customHeight="1">
      <c r="A113" s="174">
        <v>442</v>
      </c>
      <c r="B113" s="329" t="str">
        <f>IF(A113="","",CONCATENATE(VLOOKUP(A113,Clients!B$3:K812,2),VLOOKUP(A113,Clients!B$3:K812,3,)))</f>
        <v>Mme CHATELAIN</v>
      </c>
      <c r="C113" s="36" t="s">
        <v>1420</v>
      </c>
      <c r="D113" s="38">
        <v>42494</v>
      </c>
      <c r="E113" s="339">
        <v>1267.1600000000001</v>
      </c>
      <c r="F113" s="38">
        <f>IF(D113="","",D113+30)</f>
        <v>42524</v>
      </c>
      <c r="G113" s="34">
        <f>IF(H113="oui",I113-D113,"")</f>
        <v>8</v>
      </c>
      <c r="H113" s="340" t="str">
        <f t="shared" si="10"/>
        <v>oui</v>
      </c>
      <c r="I113" s="38">
        <v>42502</v>
      </c>
      <c r="J113" s="37" t="str">
        <f>IF($L113="","",CONCATENATE(VLOOKUP(A113,Clients!B$3:K$702,9)))</f>
        <v/>
      </c>
      <c r="K113" s="317"/>
    </row>
    <row r="114" spans="1:14" ht="12.75" customHeight="1">
      <c r="A114" s="174">
        <v>480</v>
      </c>
      <c r="B114" s="329" t="str">
        <f>IF(A114="","",CONCATENATE(VLOOKUP(A114,Clients!B$3:K813,2),VLOOKUP(A114,Clients!B$3:K813,3,)))</f>
        <v>M. et Mme TOUITOU</v>
      </c>
      <c r="C114" s="36" t="s">
        <v>1421</v>
      </c>
      <c r="D114" s="38">
        <v>42514</v>
      </c>
      <c r="E114" s="339">
        <v>4500</v>
      </c>
      <c r="F114" s="38">
        <f t="shared" si="8"/>
        <v>42544</v>
      </c>
      <c r="G114" s="34">
        <f t="shared" si="9"/>
        <v>1</v>
      </c>
      <c r="H114" s="340" t="str">
        <f t="shared" si="10"/>
        <v>oui</v>
      </c>
      <c r="I114" s="38">
        <v>42515</v>
      </c>
      <c r="J114" s="37" t="str">
        <f>IF($L114="","",CONCATENATE(VLOOKUP(A114,Clients!B$3:K$702,9)))</f>
        <v/>
      </c>
      <c r="K114" s="317"/>
    </row>
    <row r="115" spans="1:14" ht="12.75" customHeight="1">
      <c r="A115" s="174"/>
      <c r="B115" s="329" t="str">
        <f>IF(A115="","",CONCATENATE(VLOOKUP(A115,Clients!B$3:K814,2),VLOOKUP(A115,Clients!B$3:K814,3,)))</f>
        <v/>
      </c>
      <c r="C115" s="36" t="s">
        <v>1422</v>
      </c>
      <c r="D115" s="38"/>
      <c r="E115" s="339"/>
      <c r="F115" s="38" t="str">
        <f t="shared" si="8"/>
        <v/>
      </c>
      <c r="G115" s="34" t="str">
        <f t="shared" si="9"/>
        <v/>
      </c>
      <c r="H115" s="340" t="str">
        <f t="shared" si="10"/>
        <v/>
      </c>
      <c r="I115" s="38"/>
      <c r="J115" s="37" t="str">
        <f>IF($L115="","",CONCATENATE(VLOOKUP(A115,Clients!B$3:K$702,9)))</f>
        <v/>
      </c>
      <c r="K115" s="317"/>
    </row>
    <row r="116" spans="1:14" ht="12.75" customHeight="1">
      <c r="A116" s="174">
        <v>471</v>
      </c>
      <c r="B116" s="329" t="str">
        <f>IF(A116="","",CONCATENATE(VLOOKUP(A116,Clients!B$3:K815,2),VLOOKUP(A116,Clients!B$3:K815,3,)))</f>
        <v>Mr JAGUENAUD</v>
      </c>
      <c r="C116" s="36" t="s">
        <v>1423</v>
      </c>
      <c r="D116" s="38">
        <v>42520</v>
      </c>
      <c r="E116" s="339">
        <v>1954.26</v>
      </c>
      <c r="F116" s="38">
        <f t="shared" si="8"/>
        <v>42550</v>
      </c>
      <c r="G116" s="34">
        <f t="shared" si="9"/>
        <v>14</v>
      </c>
      <c r="H116" s="340" t="str">
        <f t="shared" si="10"/>
        <v>oui</v>
      </c>
      <c r="I116" s="38">
        <v>42534</v>
      </c>
      <c r="J116" s="37" t="str">
        <f>IF($L116="","",CONCATENATE(VLOOKUP(A116,Clients!B$3:K$702,9)))</f>
        <v/>
      </c>
      <c r="K116" s="317"/>
      <c r="N116" s="344"/>
    </row>
    <row r="117" spans="1:14" ht="12.75" customHeight="1">
      <c r="A117" s="174">
        <v>75</v>
      </c>
      <c r="B117" s="329" t="str">
        <f>IF(A117="","",CONCATENATE(VLOOKUP(A117,Clients!B$3:K816,2),VLOOKUP(A117,Clients!B$3:K816,3,)))</f>
        <v>MR COLLE</v>
      </c>
      <c r="C117" s="36" t="s">
        <v>1424</v>
      </c>
      <c r="D117" s="38">
        <v>42530</v>
      </c>
      <c r="E117" s="339">
        <v>2032.15</v>
      </c>
      <c r="F117" s="38">
        <f t="shared" si="8"/>
        <v>42560</v>
      </c>
      <c r="G117" s="34">
        <f t="shared" si="9"/>
        <v>14</v>
      </c>
      <c r="H117" s="340" t="str">
        <f t="shared" si="10"/>
        <v>oui</v>
      </c>
      <c r="I117" s="38">
        <v>42544</v>
      </c>
      <c r="J117" s="37" t="str">
        <f>IF($L117="","",CONCATENATE(VLOOKUP(A117,Clients!B$3:K$702,9)))</f>
        <v/>
      </c>
      <c r="K117" s="317"/>
    </row>
    <row r="118" spans="1:14" ht="12.75" customHeight="1">
      <c r="A118" s="174">
        <v>464</v>
      </c>
      <c r="B118" s="329" t="str">
        <f>IF(A118="","",CONCATENATE(VLOOKUP(A118,Clients!B$3:K817,2),VLOOKUP(A118,Clients!B$3:K817,3,)))</f>
        <v>Mme REMY</v>
      </c>
      <c r="C118" s="36" t="s">
        <v>1425</v>
      </c>
      <c r="D118" s="38">
        <v>42570</v>
      </c>
      <c r="E118" s="339">
        <v>2797.63</v>
      </c>
      <c r="F118" s="38">
        <f t="shared" si="8"/>
        <v>42600</v>
      </c>
      <c r="G118" s="34">
        <f t="shared" si="9"/>
        <v>6</v>
      </c>
      <c r="H118" s="340" t="str">
        <f t="shared" si="10"/>
        <v>oui</v>
      </c>
      <c r="I118" s="38">
        <v>42576</v>
      </c>
      <c r="J118" s="37" t="str">
        <f>IF($L118="","",CONCATENATE(VLOOKUP(A118,Clients!B$3:K$702,9)))</f>
        <v/>
      </c>
      <c r="K118" s="317"/>
    </row>
    <row r="119" spans="1:14" ht="12.75" customHeight="1">
      <c r="A119" s="174">
        <v>471</v>
      </c>
      <c r="B119" s="329" t="str">
        <f>IF(A119="","",CONCATENATE(VLOOKUP(A119,Clients!B$3:K818,2),VLOOKUP(A119,Clients!B$3:K818,3,)))</f>
        <v>Mr JAGUENAUD</v>
      </c>
      <c r="C119" s="36" t="s">
        <v>1426</v>
      </c>
      <c r="D119" s="38">
        <v>42574</v>
      </c>
      <c r="E119" s="339">
        <v>2417.98</v>
      </c>
      <c r="F119" s="38">
        <f t="shared" si="8"/>
        <v>42604</v>
      </c>
      <c r="G119" s="34">
        <f t="shared" si="9"/>
        <v>12</v>
      </c>
      <c r="H119" s="340" t="str">
        <f t="shared" si="10"/>
        <v>oui</v>
      </c>
      <c r="I119" s="38">
        <v>42586</v>
      </c>
      <c r="J119" s="37" t="str">
        <f>IF($L119="","",CONCATENATE(VLOOKUP(A119,Clients!B$3:K$702,9)))</f>
        <v/>
      </c>
      <c r="K119" s="317"/>
    </row>
    <row r="120" spans="1:14" ht="12.75" customHeight="1">
      <c r="A120" s="174">
        <v>502</v>
      </c>
      <c r="B120" s="329" t="str">
        <f>IF(A120="","",CONCATENATE(VLOOKUP(A120,Clients!B$3:K819,2),VLOOKUP(A120,Clients!B$3:K819,3,)))</f>
        <v>SCI MARTINE PLAISANCE</v>
      </c>
      <c r="C120" s="36" t="s">
        <v>1427</v>
      </c>
      <c r="D120" s="38">
        <v>42576</v>
      </c>
      <c r="E120" s="339">
        <v>1515.39</v>
      </c>
      <c r="F120" s="38">
        <f t="shared" si="8"/>
        <v>42606</v>
      </c>
      <c r="G120" s="34">
        <f t="shared" si="9"/>
        <v>18</v>
      </c>
      <c r="H120" s="340" t="str">
        <f t="shared" si="10"/>
        <v>oui</v>
      </c>
      <c r="I120" s="38">
        <v>42594</v>
      </c>
      <c r="J120" s="37" t="str">
        <f>IF($L120="","",CONCATENATE(VLOOKUP(A120,Clients!B$3:K$702,9)))</f>
        <v/>
      </c>
      <c r="K120" s="317"/>
    </row>
    <row r="121" spans="1:14" ht="12.75" customHeight="1">
      <c r="A121" s="174"/>
      <c r="B121" s="329" t="str">
        <f>IF(A121="","",CONCATENATE(VLOOKUP(A121,Clients!B$3:K820,2),VLOOKUP(A121,Clients!B$3:K820,3,)))</f>
        <v/>
      </c>
      <c r="C121" s="36" t="s">
        <v>1428</v>
      </c>
      <c r="D121" s="38"/>
      <c r="E121" s="339"/>
      <c r="F121" s="38" t="str">
        <f t="shared" si="8"/>
        <v/>
      </c>
      <c r="G121" s="34" t="str">
        <f t="shared" si="9"/>
        <v/>
      </c>
      <c r="H121" s="340" t="str">
        <f t="shared" si="10"/>
        <v/>
      </c>
      <c r="I121" s="38"/>
      <c r="J121" s="37" t="str">
        <f>IF($L121="","",CONCATENATE(VLOOKUP(A121,Clients!B$3:K$702,9)))</f>
        <v/>
      </c>
      <c r="K121" s="317"/>
    </row>
    <row r="122" spans="1:14" ht="12.75" customHeight="1">
      <c r="A122" s="174">
        <v>467</v>
      </c>
      <c r="B122" s="329" t="str">
        <f>IF(A122="","",CONCATENATE(VLOOKUP(A122,Clients!B$3:K821,2),VLOOKUP(A122,Clients!B$3:K821,3,)))</f>
        <v>Mme BRASSEAU</v>
      </c>
      <c r="C122" s="36" t="s">
        <v>1429</v>
      </c>
      <c r="D122" s="38">
        <v>42584</v>
      </c>
      <c r="E122" s="339">
        <v>4383.01</v>
      </c>
      <c r="F122" s="38">
        <f t="shared" si="8"/>
        <v>42614</v>
      </c>
      <c r="G122" s="34" t="str">
        <f t="shared" si="9"/>
        <v/>
      </c>
      <c r="H122" s="340" t="str">
        <f t="shared" si="10"/>
        <v/>
      </c>
      <c r="I122" s="38"/>
      <c r="J122" s="37" t="str">
        <f>IF($L122="","",CONCATENATE(VLOOKUP(A122,Clients!B$3:K$702,9)))</f>
        <v/>
      </c>
      <c r="K122" s="317"/>
    </row>
    <row r="123" spans="1:14" ht="12.75" customHeight="1">
      <c r="A123" s="174">
        <v>115</v>
      </c>
      <c r="B123" s="329" t="str">
        <f>IF(A123="","",CONCATENATE(VLOOKUP(A123,Clients!B$3:K822,2),VLOOKUP(A123,Clients!B$3:K822,3,)))</f>
        <v>MR FERRON</v>
      </c>
      <c r="C123" s="36" t="s">
        <v>1430</v>
      </c>
      <c r="D123" s="38">
        <v>42587</v>
      </c>
      <c r="E123" s="339">
        <v>906.07</v>
      </c>
      <c r="F123" s="38">
        <f t="shared" si="8"/>
        <v>42617</v>
      </c>
      <c r="G123" s="34">
        <f t="shared" si="9"/>
        <v>3</v>
      </c>
      <c r="H123" s="340" t="str">
        <f t="shared" si="10"/>
        <v>oui</v>
      </c>
      <c r="I123" s="38">
        <v>42590</v>
      </c>
      <c r="J123" s="37" t="str">
        <f>IF($L123="","",CONCATENATE(VLOOKUP(A123,Clients!B$3:K$702,9)))</f>
        <v/>
      </c>
      <c r="K123" s="317"/>
    </row>
    <row r="124" spans="1:14" ht="12.75" customHeight="1">
      <c r="A124" s="174">
        <v>246</v>
      </c>
      <c r="B124" s="329" t="str">
        <f>IF(A124="","",CONCATENATE(VLOOKUP(A124,Clients!B$3:K823,2),VLOOKUP(A124,Clients!B$3:K823,3,)))</f>
        <v>Mr MAGNAN</v>
      </c>
      <c r="C124" s="36" t="s">
        <v>1431</v>
      </c>
      <c r="D124" s="38">
        <v>42592</v>
      </c>
      <c r="E124" s="339">
        <v>5120.3599999999997</v>
      </c>
      <c r="F124" s="38">
        <f t="shared" si="8"/>
        <v>42622</v>
      </c>
      <c r="G124" s="34">
        <f t="shared" si="9"/>
        <v>2</v>
      </c>
      <c r="H124" s="340" t="str">
        <f t="shared" si="10"/>
        <v>oui</v>
      </c>
      <c r="I124" s="38">
        <v>42594</v>
      </c>
      <c r="J124" s="37" t="str">
        <f>IF($L124="","",CONCATENATE(VLOOKUP(A124,Clients!B$3:K$702,9)))</f>
        <v/>
      </c>
      <c r="K124" s="317"/>
    </row>
    <row r="125" spans="1:14" ht="12.75" customHeight="1">
      <c r="A125" s="174">
        <v>503</v>
      </c>
      <c r="B125" s="329" t="str">
        <f>IF(A125="","",CONCATENATE(VLOOKUP(A125,Clients!B$3:K824,2),VLOOKUP(A125,Clients!B$3:K824,3,)))</f>
        <v>Mr BOIMORAUD</v>
      </c>
      <c r="C125" s="36" t="s">
        <v>1432</v>
      </c>
      <c r="D125" s="38">
        <v>42620</v>
      </c>
      <c r="E125" s="339">
        <v>366.1</v>
      </c>
      <c r="F125" s="38">
        <f t="shared" si="8"/>
        <v>42650</v>
      </c>
      <c r="G125" s="34">
        <f t="shared" si="9"/>
        <v>27</v>
      </c>
      <c r="H125" s="340" t="str">
        <f t="shared" si="10"/>
        <v>oui</v>
      </c>
      <c r="I125" s="38">
        <v>42647</v>
      </c>
      <c r="J125" s="37" t="str">
        <f>IF($L125="","",CONCATENATE(VLOOKUP(A125,Clients!B$3:K$702,9)))</f>
        <v/>
      </c>
      <c r="K125" s="317"/>
    </row>
    <row r="126" spans="1:14" ht="12.75" customHeight="1">
      <c r="A126" s="174">
        <v>46</v>
      </c>
      <c r="B126" s="329" t="str">
        <f>IF(A126="","",CONCATENATE(VLOOKUP(A126,Clients!B$3:K825,2),VLOOKUP(A126,Clients!B$3:K825,3,)))</f>
        <v>MR GARAUD</v>
      </c>
      <c r="C126" s="36" t="s">
        <v>1433</v>
      </c>
      <c r="D126" s="38">
        <v>42622</v>
      </c>
      <c r="E126" s="339">
        <v>264.22000000000003</v>
      </c>
      <c r="F126" s="38">
        <f t="shared" si="8"/>
        <v>42652</v>
      </c>
      <c r="G126" s="34">
        <f t="shared" si="9"/>
        <v>62</v>
      </c>
      <c r="H126" s="340" t="str">
        <f t="shared" si="10"/>
        <v>oui</v>
      </c>
      <c r="I126" s="38">
        <v>42684</v>
      </c>
      <c r="J126" s="37" t="str">
        <f>IF($L126="","",CONCATENATE(VLOOKUP(A126,Clients!B$3:K$702,9)))</f>
        <v/>
      </c>
      <c r="K126" s="317"/>
    </row>
    <row r="127" spans="1:14" ht="12.75" customHeight="1">
      <c r="A127" s="174">
        <v>506</v>
      </c>
      <c r="B127" s="329" t="str">
        <f>IF(A127="","",CONCATENATE(VLOOKUP(A127,Clients!B$3:K826,2),VLOOKUP(A127,Clients!B$3:K826,3,)))</f>
        <v>Mr SCHENCK</v>
      </c>
      <c r="C127" s="36" t="s">
        <v>1434</v>
      </c>
      <c r="D127" s="38">
        <v>42625</v>
      </c>
      <c r="E127" s="339">
        <v>380.55</v>
      </c>
      <c r="F127" s="38">
        <f t="shared" si="8"/>
        <v>42655</v>
      </c>
      <c r="G127" s="34">
        <f t="shared" si="9"/>
        <v>44</v>
      </c>
      <c r="H127" s="340" t="str">
        <f t="shared" si="10"/>
        <v>oui</v>
      </c>
      <c r="I127" s="38">
        <v>42669</v>
      </c>
      <c r="J127" s="37" t="str">
        <f>IF($L127="","",CONCATENATE(VLOOKUP(A127,Clients!B$3:K$702,9)))</f>
        <v/>
      </c>
      <c r="K127" s="317"/>
    </row>
    <row r="128" spans="1:14" ht="12.75" customHeight="1">
      <c r="A128" s="174">
        <v>480</v>
      </c>
      <c r="B128" s="329" t="str">
        <f>IF(A128="","",CONCATENATE(VLOOKUP(A128,Clients!B$3:K827,2),VLOOKUP(A128,Clients!B$3:K827,3,)))</f>
        <v>M. et Mme TOUITOU</v>
      </c>
      <c r="C128" s="36" t="s">
        <v>1435</v>
      </c>
      <c r="D128" s="38">
        <v>42625</v>
      </c>
      <c r="E128" s="339">
        <v>5591.29</v>
      </c>
      <c r="F128" s="38">
        <f t="shared" si="8"/>
        <v>42655</v>
      </c>
      <c r="G128" s="34">
        <f t="shared" si="9"/>
        <v>31</v>
      </c>
      <c r="H128" s="340" t="str">
        <f t="shared" si="10"/>
        <v>oui</v>
      </c>
      <c r="I128" s="38">
        <v>42656</v>
      </c>
      <c r="J128" s="37" t="str">
        <f>IF($L128="","",CONCATENATE(VLOOKUP(A128,Clients!B$3:K$702,9)))</f>
        <v/>
      </c>
      <c r="K128" s="317"/>
    </row>
    <row r="129" spans="1:11" ht="12.75" customHeight="1">
      <c r="A129" s="174">
        <v>380</v>
      </c>
      <c r="B129" s="329" t="str">
        <f>IF(A129="","",CONCATENATE(VLOOKUP(A129,Clients!B$3:K828,2),VLOOKUP(A129,Clients!B$3:K828,3,)))</f>
        <v>Mr ANDREW</v>
      </c>
      <c r="C129" s="36" t="s">
        <v>1436</v>
      </c>
      <c r="D129" s="38">
        <v>42640</v>
      </c>
      <c r="E129" s="339">
        <v>5000</v>
      </c>
      <c r="F129" s="38">
        <f t="shared" si="8"/>
        <v>42670</v>
      </c>
      <c r="G129" s="34">
        <f t="shared" si="9"/>
        <v>2</v>
      </c>
      <c r="H129" s="340" t="str">
        <f t="shared" si="10"/>
        <v>oui</v>
      </c>
      <c r="I129" s="38">
        <v>42642</v>
      </c>
      <c r="J129" s="37" t="str">
        <f>IF($L129="","",CONCATENATE(VLOOKUP(A129,Clients!B$3:K$702,9)))</f>
        <v/>
      </c>
      <c r="K129" s="317"/>
    </row>
    <row r="130" spans="1:11" ht="12.75" customHeight="1">
      <c r="A130" s="174">
        <v>391</v>
      </c>
      <c r="B130" s="329" t="str">
        <f>IF(A130="","",CONCATENATE(VLOOKUP(A130,Clients!B$3:K829,2),VLOOKUP(A130,Clients!B$3:K829,3,)))</f>
        <v>Mr et Mme DE FELIGONDE</v>
      </c>
      <c r="C130" s="36" t="s">
        <v>1437</v>
      </c>
      <c r="D130" s="38">
        <v>42655</v>
      </c>
      <c r="E130" s="339">
        <v>10500</v>
      </c>
      <c r="F130" s="38">
        <f t="shared" si="8"/>
        <v>42685</v>
      </c>
      <c r="G130" s="34">
        <f t="shared" si="9"/>
        <v>0</v>
      </c>
      <c r="H130" s="340" t="str">
        <f t="shared" si="10"/>
        <v>oui</v>
      </c>
      <c r="I130" s="38">
        <v>42655</v>
      </c>
      <c r="J130" s="37" t="str">
        <f>IF($L130="","",CONCATENATE(VLOOKUP(A130,Clients!B$3:K$702,9)))</f>
        <v/>
      </c>
      <c r="K130" s="317"/>
    </row>
    <row r="131" spans="1:11" ht="12.75" customHeight="1">
      <c r="A131" s="174">
        <v>454</v>
      </c>
      <c r="B131" s="329" t="str">
        <f>IF(A131="","",CONCATENATE(VLOOKUP(A131,Clients!B$3:K830,2),VLOOKUP(A131,Clients!B$3:K830,3,)))</f>
        <v>Mr et Mme WOOD / GRAHAME</v>
      </c>
      <c r="C131" s="36" t="s">
        <v>1438</v>
      </c>
      <c r="D131" s="38">
        <v>42662</v>
      </c>
      <c r="E131" s="339">
        <v>3799.29</v>
      </c>
      <c r="F131" s="38">
        <f t="shared" si="8"/>
        <v>42692</v>
      </c>
      <c r="G131" s="34">
        <f t="shared" si="9"/>
        <v>15</v>
      </c>
      <c r="H131" s="340" t="str">
        <f t="shared" si="10"/>
        <v>oui</v>
      </c>
      <c r="I131" s="38">
        <v>42677</v>
      </c>
      <c r="J131" s="37" t="str">
        <f>IF($L131="","",CONCATENATE(VLOOKUP(A131,Clients!B$3:K$702,9)))</f>
        <v/>
      </c>
      <c r="K131" s="317"/>
    </row>
    <row r="132" spans="1:11" ht="12.75" customHeight="1">
      <c r="A132" s="174">
        <v>504</v>
      </c>
      <c r="B132" s="329" t="str">
        <f>IF(A132="","",CONCATENATE(VLOOKUP(A132,Clients!B$3:K831,2),VLOOKUP(A132,Clients!B$3:K831,3,)))</f>
        <v>Mr GAUTHIER</v>
      </c>
      <c r="C132" s="36" t="s">
        <v>1439</v>
      </c>
      <c r="D132" s="38">
        <v>42698</v>
      </c>
      <c r="E132" s="339">
        <v>5428.94</v>
      </c>
      <c r="F132" s="38">
        <f t="shared" si="8"/>
        <v>42728</v>
      </c>
      <c r="G132" s="34">
        <f t="shared" si="9"/>
        <v>13</v>
      </c>
      <c r="H132" s="340" t="str">
        <f t="shared" si="10"/>
        <v>oui</v>
      </c>
      <c r="I132" s="38">
        <v>42711</v>
      </c>
      <c r="J132" s="37" t="str">
        <f>IF($L132="","",CONCATENATE(VLOOKUP(A132,Clients!B$3:K$702,9)))</f>
        <v/>
      </c>
      <c r="K132" s="317"/>
    </row>
    <row r="133" spans="1:11" ht="12.75" customHeight="1">
      <c r="A133" s="174">
        <v>344</v>
      </c>
      <c r="B133" s="329" t="str">
        <f>IF(A133="","",CONCATENATE(VLOOKUP(A133,Clients!B$3:K832,2),VLOOKUP(A133,Clients!B$3:K832,3,)))</f>
        <v xml:space="preserve">Mr GRELET </v>
      </c>
      <c r="C133" s="36" t="s">
        <v>1440</v>
      </c>
      <c r="D133" s="38">
        <v>42698</v>
      </c>
      <c r="E133" s="339">
        <v>2684.76</v>
      </c>
      <c r="F133" s="38">
        <f t="shared" si="8"/>
        <v>42728</v>
      </c>
      <c r="G133" s="34" t="str">
        <f t="shared" si="9"/>
        <v/>
      </c>
      <c r="H133" s="340" t="str">
        <f t="shared" si="10"/>
        <v/>
      </c>
      <c r="I133" s="38"/>
      <c r="J133" s="37" t="str">
        <f>IF($L133="","",CONCATENATE(VLOOKUP(A133,Clients!B$3:K$702,9)))</f>
        <v/>
      </c>
      <c r="K133" s="317"/>
    </row>
    <row r="134" spans="1:11" ht="12.75" customHeight="1">
      <c r="A134" s="174">
        <v>385</v>
      </c>
      <c r="B134" s="329" t="str">
        <f>IF(A134="","",CONCATENATE(VLOOKUP(A134,Clients!B$3:K833,2),VLOOKUP(A134,Clients!B$3:K833,3,)))</f>
        <v>Mr et Mme GUICHARD</v>
      </c>
      <c r="C134" s="36" t="s">
        <v>1441</v>
      </c>
      <c r="D134" s="38">
        <v>42698</v>
      </c>
      <c r="E134" s="339">
        <v>9171.7000000000007</v>
      </c>
      <c r="F134" s="38">
        <f t="shared" si="8"/>
        <v>42728</v>
      </c>
      <c r="G134" s="34">
        <f t="shared" si="9"/>
        <v>26</v>
      </c>
      <c r="H134" s="340" t="str">
        <f t="shared" si="10"/>
        <v>oui</v>
      </c>
      <c r="I134" s="38">
        <v>42724</v>
      </c>
      <c r="J134" s="37" t="str">
        <f>IF($L134="","",CONCATENATE(VLOOKUP(A134,Clients!B$3:K$702,9)))</f>
        <v/>
      </c>
      <c r="K134" s="317"/>
    </row>
    <row r="135" spans="1:11" ht="12.75" customHeight="1">
      <c r="A135" s="174">
        <v>318</v>
      </c>
      <c r="B135" s="329" t="str">
        <f>IF(A135="","",CONCATENATE(VLOOKUP(A135,Clients!B$3:K834,2),VLOOKUP(A135,Clients!B$3:K834,3,)))</f>
        <v>Mme GARNIER</v>
      </c>
      <c r="C135" s="36" t="s">
        <v>1442</v>
      </c>
      <c r="D135" s="38">
        <v>42698</v>
      </c>
      <c r="E135" s="339">
        <v>82.91</v>
      </c>
      <c r="F135" s="38">
        <f t="shared" si="8"/>
        <v>42728</v>
      </c>
      <c r="G135" s="34" t="str">
        <f t="shared" si="9"/>
        <v/>
      </c>
      <c r="H135" s="340" t="str">
        <f t="shared" si="10"/>
        <v/>
      </c>
      <c r="I135" s="38"/>
      <c r="J135" s="37" t="str">
        <f>IF($L135="","",CONCATENATE(VLOOKUP(A135,Clients!B$3:K$702,9)))</f>
        <v/>
      </c>
      <c r="K135" s="317"/>
    </row>
    <row r="136" spans="1:11" ht="12.75" customHeight="1">
      <c r="A136" s="174">
        <v>471</v>
      </c>
      <c r="B136" s="329" t="str">
        <f>IF(A136="","",CONCATENATE(VLOOKUP(A136,Clients!B$3:K835,2),VLOOKUP(A136,Clients!B$3:K835,3,)))</f>
        <v>Mr JAGUENAUD</v>
      </c>
      <c r="C136" s="36" t="s">
        <v>1443</v>
      </c>
      <c r="D136" s="38">
        <v>42698</v>
      </c>
      <c r="E136" s="339">
        <v>805.59</v>
      </c>
      <c r="F136" s="38">
        <f t="shared" si="8"/>
        <v>42728</v>
      </c>
      <c r="G136" s="34">
        <f t="shared" si="9"/>
        <v>19</v>
      </c>
      <c r="H136" s="340" t="str">
        <f t="shared" si="10"/>
        <v>oui</v>
      </c>
      <c r="I136" s="38">
        <v>42717</v>
      </c>
      <c r="J136" s="37" t="str">
        <f>IF($L136="","",CONCATENATE(VLOOKUP(A136,Clients!B$3:K$702,9)))</f>
        <v/>
      </c>
      <c r="K136" s="317"/>
    </row>
    <row r="137" spans="1:11" ht="12.75" customHeight="1">
      <c r="A137" s="174">
        <v>294</v>
      </c>
      <c r="B137" s="329" t="str">
        <f>IF(A137="","",CONCATENATE(VLOOKUP(A137,Clients!B$3:K836,2),VLOOKUP(A137,Clients!B$3:K836,3,)))</f>
        <v>Mr SICAUD</v>
      </c>
      <c r="C137" s="36" t="s">
        <v>1444</v>
      </c>
      <c r="D137" s="38">
        <v>42698</v>
      </c>
      <c r="E137" s="339">
        <v>5803.77</v>
      </c>
      <c r="F137" s="38">
        <f t="shared" si="8"/>
        <v>42728</v>
      </c>
      <c r="G137" s="34" t="str">
        <f t="shared" si="9"/>
        <v/>
      </c>
      <c r="H137" s="340" t="str">
        <f t="shared" si="10"/>
        <v/>
      </c>
      <c r="I137" s="38"/>
      <c r="J137" s="37" t="str">
        <f>IF($L137="","",CONCATENATE(VLOOKUP(A137,Clients!B$3:K$702,9)))</f>
        <v/>
      </c>
      <c r="K137" s="317"/>
    </row>
    <row r="138" spans="1:11" ht="12.75" customHeight="1">
      <c r="A138" s="174">
        <v>20</v>
      </c>
      <c r="B138" s="329" t="str">
        <f>IF(A138="","",CONCATENATE(VLOOKUP(A138,Clients!B$3:K837,2),VLOOKUP(A138,Clients!B$3:K837,3,)))</f>
        <v>GAEC</v>
      </c>
      <c r="C138" s="36" t="s">
        <v>1445</v>
      </c>
      <c r="D138" s="38">
        <v>42698</v>
      </c>
      <c r="E138" s="339">
        <v>2018.04</v>
      </c>
      <c r="F138" s="38">
        <f t="shared" si="8"/>
        <v>42728</v>
      </c>
      <c r="G138" s="34" t="str">
        <f t="shared" si="9"/>
        <v/>
      </c>
      <c r="H138" s="340" t="str">
        <f t="shared" si="10"/>
        <v/>
      </c>
      <c r="I138" s="38"/>
      <c r="J138" s="37" t="str">
        <f>IF($L138="","",CONCATENATE(VLOOKUP(A138,Clients!B$3:K$702,9)))</f>
        <v/>
      </c>
      <c r="K138" s="317"/>
    </row>
    <row r="139" spans="1:11" ht="12.75" customHeight="1">
      <c r="A139" s="174">
        <v>385</v>
      </c>
      <c r="B139" s="329" t="str">
        <f>IF(A139="","",CONCATENATE(VLOOKUP(A139,Clients!B$3:K838,2),VLOOKUP(A139,Clients!B$3:K838,3,)))</f>
        <v>Mr et Mme GUICHARD</v>
      </c>
      <c r="C139" s="36" t="s">
        <v>1446</v>
      </c>
      <c r="D139" s="38">
        <v>42709</v>
      </c>
      <c r="E139" s="339">
        <v>2903.78</v>
      </c>
      <c r="F139" s="38">
        <f t="shared" si="8"/>
        <v>42739</v>
      </c>
      <c r="G139" s="34">
        <f t="shared" si="9"/>
        <v>15</v>
      </c>
      <c r="H139" s="340" t="str">
        <f t="shared" si="10"/>
        <v>oui</v>
      </c>
      <c r="I139" s="38">
        <v>42724</v>
      </c>
      <c r="J139" s="37" t="str">
        <f>IF($L139="","",CONCATENATE(VLOOKUP(A139,Clients!B$3:K$702,9)))</f>
        <v/>
      </c>
      <c r="K139" s="317"/>
    </row>
    <row r="140" spans="1:11" ht="12.75" customHeight="1">
      <c r="A140" s="174">
        <v>385</v>
      </c>
      <c r="B140" s="329" t="str">
        <f>IF(A140="","",CONCATENATE(VLOOKUP(A140,Clients!B$3:K839,2),VLOOKUP(A140,Clients!B$3:K839,3,)))</f>
        <v>Mr et Mme GUICHARD</v>
      </c>
      <c r="C140" s="36" t="s">
        <v>1447</v>
      </c>
      <c r="D140" s="38">
        <v>42709</v>
      </c>
      <c r="E140" s="339">
        <v>5041.5200000000004</v>
      </c>
      <c r="F140" s="38">
        <f t="shared" si="8"/>
        <v>42739</v>
      </c>
      <c r="G140" s="34">
        <f t="shared" si="9"/>
        <v>15</v>
      </c>
      <c r="H140" s="340" t="str">
        <f t="shared" si="10"/>
        <v>oui</v>
      </c>
      <c r="I140" s="38">
        <v>42724</v>
      </c>
      <c r="J140" s="37" t="str">
        <f>IF($L140="","",CONCATENATE(VLOOKUP(A140,Clients!B$3:K$702,9)))</f>
        <v/>
      </c>
      <c r="K140" s="317"/>
    </row>
    <row r="141" spans="1:11" ht="12.75" customHeight="1">
      <c r="A141" s="174">
        <v>385</v>
      </c>
      <c r="B141" s="329" t="str">
        <f>IF(A141="","",CONCATENATE(VLOOKUP(A141,Clients!B$3:K840,2),VLOOKUP(A141,Clients!B$3:K840,3,)))</f>
        <v>Mr et Mme GUICHARD</v>
      </c>
      <c r="C141" s="36" t="s">
        <v>1448</v>
      </c>
      <c r="D141" s="38">
        <v>42716</v>
      </c>
      <c r="E141" s="339">
        <v>934.41</v>
      </c>
      <c r="F141" s="38">
        <f t="shared" si="8"/>
        <v>42746</v>
      </c>
      <c r="G141" s="34">
        <f t="shared" si="9"/>
        <v>8</v>
      </c>
      <c r="H141" s="340" t="str">
        <f t="shared" si="10"/>
        <v>oui</v>
      </c>
      <c r="I141" s="38">
        <v>42724</v>
      </c>
      <c r="J141" s="37" t="str">
        <f>IF($L141="","",CONCATENATE(VLOOKUP(A141,Clients!B$3:K$702,9)))</f>
        <v/>
      </c>
      <c r="K141" s="317"/>
    </row>
    <row r="142" spans="1:11" ht="12.75" customHeight="1">
      <c r="A142" s="174">
        <v>504</v>
      </c>
      <c r="B142" s="329" t="str">
        <f>IF(A142="","",CONCATENATE(VLOOKUP(A142,Clients!B$3:K841,2),VLOOKUP(A142,Clients!B$3:K841,3,)))</f>
        <v>Mr GAUTHIER</v>
      </c>
      <c r="C142" s="36" t="s">
        <v>1449</v>
      </c>
      <c r="D142" s="38">
        <v>42719</v>
      </c>
      <c r="E142" s="339">
        <v>2697.89</v>
      </c>
      <c r="F142" s="38">
        <f t="shared" si="8"/>
        <v>42749</v>
      </c>
      <c r="G142" s="34">
        <f t="shared" si="9"/>
        <v>1</v>
      </c>
      <c r="H142" s="340" t="str">
        <f t="shared" si="10"/>
        <v>oui</v>
      </c>
      <c r="I142" s="38">
        <v>42720</v>
      </c>
      <c r="J142" s="37" t="str">
        <f>IF($L142="","",CONCATENATE(VLOOKUP(A142,Clients!B$3:K$702,9)))</f>
        <v/>
      </c>
      <c r="K142" s="317"/>
    </row>
    <row r="143" spans="1:11" ht="12.75" customHeight="1">
      <c r="A143" s="174"/>
      <c r="B143" s="329" t="str">
        <f>IF(A143="","",CONCATENATE(VLOOKUP(A143,Clients!B$3:K842,2),VLOOKUP(A143,Clients!B$3:K842,3,)))</f>
        <v/>
      </c>
      <c r="C143" s="36" t="s">
        <v>1450</v>
      </c>
      <c r="D143" s="38"/>
      <c r="E143" s="339"/>
      <c r="F143" s="38" t="str">
        <f t="shared" si="8"/>
        <v/>
      </c>
      <c r="G143" s="34" t="str">
        <f t="shared" si="9"/>
        <v/>
      </c>
      <c r="H143" s="340" t="str">
        <f t="shared" si="10"/>
        <v/>
      </c>
      <c r="I143" s="38"/>
      <c r="J143" s="37" t="str">
        <f>IF($L143="","",CONCATENATE(VLOOKUP(A143,Clients!B$3:K$702,9)))</f>
        <v/>
      </c>
      <c r="K143" s="317"/>
    </row>
    <row r="144" spans="1:11" ht="12.75" customHeight="1">
      <c r="A144" s="174"/>
      <c r="B144" s="329" t="str">
        <f>IF(A144="","",CONCATENATE(VLOOKUP(A144,Clients!B$3:K843,2),VLOOKUP(A144,Clients!B$3:K843,3,)))</f>
        <v/>
      </c>
      <c r="C144" s="36" t="s">
        <v>1451</v>
      </c>
      <c r="D144" s="38"/>
      <c r="E144" s="339"/>
      <c r="F144" s="38" t="str">
        <f t="shared" si="8"/>
        <v/>
      </c>
      <c r="G144" s="34" t="str">
        <f t="shared" si="9"/>
        <v/>
      </c>
      <c r="H144" s="340" t="str">
        <f t="shared" si="10"/>
        <v/>
      </c>
      <c r="I144" s="38"/>
      <c r="J144" s="37" t="str">
        <f>IF($L144="","",CONCATENATE(VLOOKUP(A144,Clients!B$3:K$702,9)))</f>
        <v/>
      </c>
      <c r="K144" s="317"/>
    </row>
    <row r="145" spans="1:11" ht="12.75" customHeight="1">
      <c r="A145" s="174"/>
      <c r="B145" s="329" t="str">
        <f>IF(A145="","",CONCATENATE(VLOOKUP(A145,Clients!B$3:K844,2),VLOOKUP(A145,Clients!B$3:K844,3,)))</f>
        <v/>
      </c>
      <c r="C145" s="36" t="s">
        <v>1452</v>
      </c>
      <c r="D145" s="38"/>
      <c r="E145" s="339"/>
      <c r="F145" s="38" t="str">
        <f t="shared" si="8"/>
        <v/>
      </c>
      <c r="G145" s="34" t="str">
        <f t="shared" si="9"/>
        <v/>
      </c>
      <c r="H145" s="340" t="str">
        <f t="shared" si="10"/>
        <v/>
      </c>
      <c r="I145" s="38"/>
      <c r="J145" s="37" t="str">
        <f>IF($L145="","",CONCATENATE(VLOOKUP(A145,Clients!B$3:K$702,9)))</f>
        <v/>
      </c>
      <c r="K145" s="317"/>
    </row>
    <row r="146" spans="1:11" ht="12.75" customHeight="1">
      <c r="A146" s="174"/>
      <c r="B146" s="329" t="str">
        <f>IF(A146="","",CONCATENATE(VLOOKUP(A146,Clients!B$3:K845,2),VLOOKUP(A146,Clients!B$3:K845,3,)))</f>
        <v/>
      </c>
      <c r="C146" s="36" t="s">
        <v>1453</v>
      </c>
      <c r="D146" s="38"/>
      <c r="E146" s="339"/>
      <c r="F146" s="38" t="str">
        <f t="shared" si="8"/>
        <v/>
      </c>
      <c r="G146" s="34" t="str">
        <f t="shared" si="9"/>
        <v/>
      </c>
      <c r="H146" s="340" t="str">
        <f t="shared" si="10"/>
        <v/>
      </c>
      <c r="I146" s="38"/>
      <c r="J146" s="37" t="str">
        <f>IF($L146="","",CONCATENATE(VLOOKUP(A146,Clients!B$3:K$702,9)))</f>
        <v/>
      </c>
      <c r="K146" s="317"/>
    </row>
    <row r="147" spans="1:11" ht="12.75" customHeight="1">
      <c r="A147" s="174"/>
      <c r="B147" s="329" t="str">
        <f>IF(A147="","",CONCATENATE(VLOOKUP(A147,Clients!B$3:K846,2),VLOOKUP(A147,Clients!B$3:K846,3,)))</f>
        <v/>
      </c>
      <c r="C147" s="36" t="s">
        <v>1454</v>
      </c>
      <c r="D147" s="38"/>
      <c r="E147" s="339"/>
      <c r="F147" s="38" t="str">
        <f t="shared" si="8"/>
        <v/>
      </c>
      <c r="G147" s="34" t="str">
        <f t="shared" si="9"/>
        <v/>
      </c>
      <c r="H147" s="340" t="str">
        <f t="shared" si="10"/>
        <v/>
      </c>
      <c r="I147" s="38"/>
      <c r="J147" s="37" t="str">
        <f>IF($L147="","",CONCATENATE(VLOOKUP(A147,Clients!B$3:K$702,9)))</f>
        <v/>
      </c>
      <c r="K147" s="317"/>
    </row>
    <row r="148" spans="1:11" ht="12.75" customHeight="1">
      <c r="A148" s="174"/>
      <c r="B148" s="329" t="str">
        <f>IF(A148="","",CONCATENATE(VLOOKUP(A148,Clients!B$3:K847,2),VLOOKUP(A148,Clients!B$3:K847,3,)))</f>
        <v/>
      </c>
      <c r="C148" s="36" t="s">
        <v>1455</v>
      </c>
      <c r="D148" s="38"/>
      <c r="E148" s="339"/>
      <c r="F148" s="38" t="str">
        <f t="shared" si="8"/>
        <v/>
      </c>
      <c r="G148" s="34" t="str">
        <f t="shared" si="9"/>
        <v/>
      </c>
      <c r="H148" s="340" t="str">
        <f t="shared" si="10"/>
        <v/>
      </c>
      <c r="I148" s="38"/>
      <c r="J148" s="37" t="str">
        <f>IF($L148="","",CONCATENATE(VLOOKUP(A148,Clients!B$3:K$702,9)))</f>
        <v/>
      </c>
      <c r="K148" s="317"/>
    </row>
    <row r="149" spans="1:11" ht="12.75" customHeight="1">
      <c r="A149" s="174"/>
      <c r="B149" s="329" t="str">
        <f>IF(A149="","",CONCATENATE(VLOOKUP(A149,Clients!B$3:K848,2),VLOOKUP(A149,Clients!B$3:K848,3,)))</f>
        <v/>
      </c>
      <c r="C149" s="36" t="s">
        <v>1456</v>
      </c>
      <c r="D149" s="38"/>
      <c r="E149" s="339"/>
      <c r="F149" s="38" t="str">
        <f t="shared" si="8"/>
        <v/>
      </c>
      <c r="G149" s="34" t="str">
        <f t="shared" si="9"/>
        <v/>
      </c>
      <c r="H149" s="340" t="str">
        <f t="shared" si="10"/>
        <v/>
      </c>
      <c r="I149" s="38"/>
      <c r="J149" s="37" t="str">
        <f>IF($L149="","",CONCATENATE(VLOOKUP(A149,Clients!B$3:K$702,9)))</f>
        <v/>
      </c>
      <c r="K149" s="317"/>
    </row>
    <row r="150" spans="1:11" ht="12.75" customHeight="1">
      <c r="A150" s="174"/>
      <c r="B150" s="329" t="str">
        <f>IF(A150="","",CONCATENATE(VLOOKUP(A150,Clients!B$3:K849,2),VLOOKUP(A150,Clients!B$3:K849,3,)))</f>
        <v/>
      </c>
      <c r="C150" s="36" t="s">
        <v>1457</v>
      </c>
      <c r="D150" s="38"/>
      <c r="E150" s="339"/>
      <c r="F150" s="38" t="str">
        <f t="shared" si="8"/>
        <v/>
      </c>
      <c r="G150" s="34" t="str">
        <f t="shared" si="9"/>
        <v/>
      </c>
      <c r="H150" s="340" t="str">
        <f t="shared" si="10"/>
        <v/>
      </c>
      <c r="I150" s="38"/>
      <c r="J150" s="37" t="str">
        <f>IF($L150="","",CONCATENATE(VLOOKUP(A150,Clients!B$3:K$702,9)))</f>
        <v/>
      </c>
      <c r="K150" s="317"/>
    </row>
    <row r="151" spans="1:11" ht="12.75" customHeight="1">
      <c r="A151" s="174"/>
      <c r="B151" s="329" t="str">
        <f>IF(A151="","",CONCATENATE(VLOOKUP(A151,Clients!B$3:K850,2),VLOOKUP(A151,Clients!B$3:K850,3,)))</f>
        <v/>
      </c>
      <c r="C151" s="36" t="s">
        <v>1458</v>
      </c>
      <c r="D151" s="38"/>
      <c r="E151" s="339"/>
      <c r="F151" s="38" t="str">
        <f t="shared" si="8"/>
        <v/>
      </c>
      <c r="G151" s="34" t="str">
        <f t="shared" si="9"/>
        <v/>
      </c>
      <c r="H151" s="340" t="str">
        <f t="shared" si="10"/>
        <v/>
      </c>
      <c r="I151" s="38"/>
      <c r="J151" s="37" t="str">
        <f>IF($L151="","",CONCATENATE(VLOOKUP(A151,Clients!B$3:K$702,9)))</f>
        <v/>
      </c>
      <c r="K151" s="317"/>
    </row>
    <row r="152" spans="1:11" ht="12.75" customHeight="1">
      <c r="A152" s="174"/>
      <c r="B152" s="329" t="str">
        <f>IF(A152="","",CONCATENATE(VLOOKUP(A152,Clients!B$3:K851,2),VLOOKUP(A152,Clients!B$3:K851,3,)))</f>
        <v/>
      </c>
      <c r="C152" s="36" t="s">
        <v>1459</v>
      </c>
      <c r="D152" s="38"/>
      <c r="E152" s="339"/>
      <c r="F152" s="38" t="str">
        <f t="shared" si="8"/>
        <v/>
      </c>
      <c r="G152" s="34" t="str">
        <f t="shared" si="9"/>
        <v/>
      </c>
      <c r="H152" s="340" t="str">
        <f t="shared" si="10"/>
        <v/>
      </c>
      <c r="I152" s="38"/>
      <c r="J152" s="37" t="str">
        <f>IF($L152="","",CONCATENATE(VLOOKUP(A152,Clients!B$3:K$702,9)))</f>
        <v/>
      </c>
      <c r="K152" s="317"/>
    </row>
    <row r="153" spans="1:11" ht="12.75" customHeight="1">
      <c r="A153" s="174"/>
      <c r="B153" s="329" t="str">
        <f>IF(A153="","",CONCATENATE(VLOOKUP(A153,Clients!B$3:K852,2),VLOOKUP(A153,Clients!B$3:K852,3,)))</f>
        <v/>
      </c>
      <c r="C153" s="36" t="s">
        <v>1460</v>
      </c>
      <c r="D153" s="38"/>
      <c r="E153" s="339"/>
      <c r="F153" s="38" t="str">
        <f t="shared" si="8"/>
        <v/>
      </c>
      <c r="G153" s="34" t="str">
        <f t="shared" si="9"/>
        <v/>
      </c>
      <c r="H153" s="340" t="str">
        <f t="shared" si="10"/>
        <v/>
      </c>
      <c r="I153" s="38"/>
      <c r="J153" s="37" t="str">
        <f>IF($L153="","",CONCATENATE(VLOOKUP(A153,Clients!B$3:K$702,9)))</f>
        <v/>
      </c>
      <c r="K153" s="317"/>
    </row>
    <row r="154" spans="1:11" ht="12.75" customHeight="1">
      <c r="A154" s="174"/>
      <c r="B154" s="329" t="str">
        <f>IF(A154="","",CONCATENATE(VLOOKUP(A154,Clients!B$3:K853,2),VLOOKUP(A154,Clients!B$3:K853,3,)))</f>
        <v/>
      </c>
      <c r="C154" s="36" t="s">
        <v>1461</v>
      </c>
      <c r="D154" s="38"/>
      <c r="E154" s="339"/>
      <c r="F154" s="38" t="str">
        <f t="shared" si="8"/>
        <v/>
      </c>
      <c r="G154" s="34" t="str">
        <f t="shared" si="9"/>
        <v/>
      </c>
      <c r="H154" s="340" t="str">
        <f t="shared" si="10"/>
        <v/>
      </c>
      <c r="I154" s="38"/>
      <c r="J154" s="37" t="str">
        <f>IF($L154="","",CONCATENATE(VLOOKUP(A154,Clients!B$3:K$702,9)))</f>
        <v/>
      </c>
      <c r="K154" s="317"/>
    </row>
    <row r="155" spans="1:11" ht="12.75" customHeight="1">
      <c r="A155" s="174"/>
      <c r="B155" s="329" t="str">
        <f>IF(A155="","",CONCATENATE(VLOOKUP(A155,Clients!B$3:K854,2),VLOOKUP(A155,Clients!B$3:K854,3,)))</f>
        <v/>
      </c>
      <c r="C155" s="36" t="s">
        <v>1462</v>
      </c>
      <c r="D155" s="38"/>
      <c r="E155" s="339"/>
      <c r="F155" s="38" t="str">
        <f t="shared" si="8"/>
        <v/>
      </c>
      <c r="G155" s="34" t="str">
        <f t="shared" si="9"/>
        <v/>
      </c>
      <c r="H155" s="340" t="str">
        <f t="shared" si="10"/>
        <v/>
      </c>
      <c r="I155" s="38"/>
      <c r="J155" s="37" t="str">
        <f>IF($L155="","",CONCATENATE(VLOOKUP(A155,Clients!B$3:K$702,9)))</f>
        <v/>
      </c>
      <c r="K155" s="317"/>
    </row>
    <row r="156" spans="1:11" ht="12.75" customHeight="1">
      <c r="A156" s="174"/>
      <c r="B156" s="329" t="str">
        <f>IF(A156="","",CONCATENATE(VLOOKUP(A156,Clients!B$3:K855,2),VLOOKUP(A156,Clients!B$3:K855,3,)))</f>
        <v/>
      </c>
      <c r="C156" s="36" t="s">
        <v>1463</v>
      </c>
      <c r="D156" s="38"/>
      <c r="E156" s="339"/>
      <c r="F156" s="38" t="str">
        <f t="shared" si="8"/>
        <v/>
      </c>
      <c r="G156" s="34" t="str">
        <f t="shared" si="9"/>
        <v/>
      </c>
      <c r="H156" s="340" t="str">
        <f t="shared" si="10"/>
        <v/>
      </c>
      <c r="I156" s="38"/>
      <c r="J156" s="37" t="str">
        <f>IF($L156="","",CONCATENATE(VLOOKUP(A156,Clients!B$3:K$702,9)))</f>
        <v/>
      </c>
      <c r="K156" s="317"/>
    </row>
    <row r="157" spans="1:11" ht="12.75" customHeight="1">
      <c r="A157" s="174"/>
      <c r="B157" s="329" t="str">
        <f>IF(A157="","",CONCATENATE(VLOOKUP(A157,Clients!B$3:K856,2),VLOOKUP(A157,Clients!B$3:K856,3,)))</f>
        <v/>
      </c>
      <c r="C157" s="36" t="s">
        <v>1464</v>
      </c>
      <c r="D157" s="38"/>
      <c r="E157" s="339"/>
      <c r="F157" s="38" t="str">
        <f t="shared" si="8"/>
        <v/>
      </c>
      <c r="G157" s="34" t="str">
        <f t="shared" si="9"/>
        <v/>
      </c>
      <c r="H157" s="340" t="str">
        <f t="shared" si="10"/>
        <v/>
      </c>
      <c r="I157" s="38"/>
      <c r="J157" s="37" t="str">
        <f>IF($L157="","",CONCATENATE(VLOOKUP(A157,Clients!B$3:K$702,9)))</f>
        <v/>
      </c>
      <c r="K157" s="317"/>
    </row>
    <row r="158" spans="1:11" ht="12.75" customHeight="1">
      <c r="A158" s="174"/>
      <c r="B158" s="329" t="str">
        <f>IF(A158="","",CONCATENATE(VLOOKUP(A158,Clients!B$3:K857,2),VLOOKUP(A158,Clients!B$3:K857,3,)))</f>
        <v/>
      </c>
      <c r="C158" s="36" t="s">
        <v>1465</v>
      </c>
      <c r="D158" s="38"/>
      <c r="E158" s="339"/>
      <c r="F158" s="38" t="str">
        <f t="shared" si="8"/>
        <v/>
      </c>
      <c r="G158" s="34" t="str">
        <f t="shared" si="9"/>
        <v/>
      </c>
      <c r="H158" s="340" t="str">
        <f t="shared" si="10"/>
        <v/>
      </c>
      <c r="I158" s="38"/>
      <c r="J158" s="37" t="str">
        <f>IF($L158="","",CONCATENATE(VLOOKUP(A158,Clients!B$3:K$702,9)))</f>
        <v/>
      </c>
      <c r="K158" s="317"/>
    </row>
    <row r="159" spans="1:11" ht="12.75" customHeight="1">
      <c r="A159" s="174"/>
      <c r="B159" s="329" t="str">
        <f>IF(A159="","",CONCATENATE(VLOOKUP(A159,Clients!B$3:K858,2),VLOOKUP(A159,Clients!B$3:K858,3,)))</f>
        <v/>
      </c>
      <c r="C159" s="36" t="s">
        <v>1466</v>
      </c>
      <c r="D159" s="38"/>
      <c r="E159" s="339"/>
      <c r="F159" s="38" t="str">
        <f t="shared" si="8"/>
        <v/>
      </c>
      <c r="G159" s="34" t="str">
        <f t="shared" si="9"/>
        <v/>
      </c>
      <c r="H159" s="340" t="str">
        <f t="shared" si="10"/>
        <v/>
      </c>
      <c r="I159" s="38"/>
      <c r="J159" s="37" t="str">
        <f>IF($L159="","",CONCATENATE(VLOOKUP(A159,Clients!B$3:K$702,9)))</f>
        <v/>
      </c>
      <c r="K159" s="317"/>
    </row>
    <row r="160" spans="1:11" ht="12.75" customHeight="1">
      <c r="A160" s="174"/>
      <c r="B160" s="329" t="str">
        <f>IF(A160="","",CONCATENATE(VLOOKUP(A160,Clients!B$3:K859,2),VLOOKUP(A160,Clients!B$3:K859,3,)))</f>
        <v/>
      </c>
      <c r="C160" s="36" t="s">
        <v>1467</v>
      </c>
      <c r="D160" s="38"/>
      <c r="E160" s="339"/>
      <c r="F160" s="38" t="str">
        <f t="shared" si="8"/>
        <v/>
      </c>
      <c r="G160" s="34" t="str">
        <f t="shared" si="9"/>
        <v/>
      </c>
      <c r="H160" s="340" t="str">
        <f t="shared" si="10"/>
        <v/>
      </c>
      <c r="I160" s="38"/>
      <c r="J160" s="37" t="str">
        <f>IF($L160="","",CONCATENATE(VLOOKUP(A160,Clients!B$3:K$702,9)))</f>
        <v/>
      </c>
      <c r="K160" s="317"/>
    </row>
    <row r="161" spans="1:11" ht="12.75" customHeight="1">
      <c r="A161" s="174"/>
      <c r="B161" s="329" t="str">
        <f>IF(A161="","",CONCATENATE(VLOOKUP(A161,Clients!B$3:K860,2),VLOOKUP(A161,Clients!B$3:K860,3,)))</f>
        <v/>
      </c>
      <c r="C161" s="36" t="s">
        <v>1468</v>
      </c>
      <c r="D161" s="38"/>
      <c r="E161" s="339"/>
      <c r="F161" s="38" t="str">
        <f t="shared" si="8"/>
        <v/>
      </c>
      <c r="G161" s="34" t="str">
        <f t="shared" si="9"/>
        <v/>
      </c>
      <c r="H161" s="340" t="str">
        <f t="shared" si="10"/>
        <v/>
      </c>
      <c r="I161" s="38"/>
      <c r="J161" s="37" t="str">
        <f>IF($L161="","",CONCATENATE(VLOOKUP(A161,Clients!B$3:K$702,9)))</f>
        <v/>
      </c>
      <c r="K161" s="317"/>
    </row>
    <row r="162" spans="1:11" ht="12.75" customHeight="1">
      <c r="A162" s="174"/>
      <c r="B162" s="329" t="str">
        <f>IF(A162="","",CONCATENATE(VLOOKUP(A162,Clients!B$3:K861,2),VLOOKUP(A162,Clients!B$3:K861,3,)))</f>
        <v/>
      </c>
      <c r="C162" s="36" t="s">
        <v>1469</v>
      </c>
      <c r="D162" s="38"/>
      <c r="E162" s="339"/>
      <c r="F162" s="38" t="str">
        <f t="shared" ref="F162:F176" si="11">IF(D162="","",D162+30)</f>
        <v/>
      </c>
      <c r="G162" s="34" t="str">
        <f t="shared" ref="G162:G176" si="12">IF(H162="oui",I162-D162,"")</f>
        <v/>
      </c>
      <c r="H162" s="340" t="str">
        <f t="shared" ref="H162:H176" si="13">IF(I162="","","oui")</f>
        <v/>
      </c>
      <c r="I162" s="38"/>
      <c r="J162" s="37" t="str">
        <f>IF($L162="","",CONCATENATE(VLOOKUP(A162,Clients!B$3:K$702,9)))</f>
        <v/>
      </c>
      <c r="K162" s="317"/>
    </row>
    <row r="163" spans="1:11" ht="12.75" customHeight="1">
      <c r="A163" s="174"/>
      <c r="B163" s="329" t="str">
        <f>IF(A163="","",CONCATENATE(VLOOKUP(A163,Clients!B$3:K862,2),VLOOKUP(A163,Clients!B$3:K862,3,)))</f>
        <v/>
      </c>
      <c r="C163" s="36" t="s">
        <v>1470</v>
      </c>
      <c r="D163" s="38"/>
      <c r="E163" s="339"/>
      <c r="F163" s="38" t="str">
        <f t="shared" si="11"/>
        <v/>
      </c>
      <c r="G163" s="34" t="str">
        <f t="shared" si="12"/>
        <v/>
      </c>
      <c r="H163" s="340" t="str">
        <f t="shared" si="13"/>
        <v/>
      </c>
      <c r="I163" s="38"/>
      <c r="J163" s="37" t="str">
        <f>IF($L163="","",CONCATENATE(VLOOKUP(A163,Clients!B$3:K$702,9)))</f>
        <v/>
      </c>
      <c r="K163" s="317"/>
    </row>
    <row r="164" spans="1:11" ht="12.75" customHeight="1">
      <c r="A164" s="174"/>
      <c r="B164" s="329" t="str">
        <f>IF(A164="","",CONCATENATE(VLOOKUP(A164,Clients!B$3:K863,2),VLOOKUP(A164,Clients!B$3:K863,3,)))</f>
        <v/>
      </c>
      <c r="C164" s="36" t="s">
        <v>1471</v>
      </c>
      <c r="D164" s="38"/>
      <c r="E164" s="339"/>
      <c r="F164" s="38" t="str">
        <f t="shared" si="11"/>
        <v/>
      </c>
      <c r="G164" s="34" t="str">
        <f t="shared" si="12"/>
        <v/>
      </c>
      <c r="H164" s="340" t="str">
        <f t="shared" si="13"/>
        <v/>
      </c>
      <c r="I164" s="38"/>
      <c r="J164" s="37" t="str">
        <f>IF($L164="","",CONCATENATE(VLOOKUP(A164,Clients!B$3:K$702,9)))</f>
        <v/>
      </c>
      <c r="K164" s="317"/>
    </row>
    <row r="165" spans="1:11" ht="12.75" customHeight="1">
      <c r="A165" s="174"/>
      <c r="B165" s="329" t="str">
        <f>IF(A165="","",CONCATENATE(VLOOKUP(A165,Clients!B$3:K864,2),VLOOKUP(A165,Clients!B$3:K864,3,)))</f>
        <v/>
      </c>
      <c r="C165" s="36" t="s">
        <v>1472</v>
      </c>
      <c r="D165" s="38"/>
      <c r="E165" s="339"/>
      <c r="F165" s="38" t="str">
        <f t="shared" si="11"/>
        <v/>
      </c>
      <c r="G165" s="34" t="str">
        <f t="shared" si="12"/>
        <v/>
      </c>
      <c r="H165" s="340" t="str">
        <f t="shared" si="13"/>
        <v/>
      </c>
      <c r="I165" s="38"/>
      <c r="J165" s="37" t="str">
        <f>IF($L165="","",CONCATENATE(VLOOKUP(A165,Clients!B$3:K$702,9)))</f>
        <v/>
      </c>
      <c r="K165" s="317"/>
    </row>
    <row r="166" spans="1:11" ht="12.75" customHeight="1">
      <c r="A166" s="174"/>
      <c r="B166" s="329" t="str">
        <f>IF(A166="","",CONCATENATE(VLOOKUP(A166,Clients!B$3:K865,2),VLOOKUP(A166,Clients!B$3:K865,3,)))</f>
        <v/>
      </c>
      <c r="C166" s="36" t="s">
        <v>1473</v>
      </c>
      <c r="D166" s="38"/>
      <c r="E166" s="339"/>
      <c r="F166" s="38" t="str">
        <f t="shared" si="11"/>
        <v/>
      </c>
      <c r="G166" s="34" t="str">
        <f t="shared" si="12"/>
        <v/>
      </c>
      <c r="H166" s="340" t="str">
        <f t="shared" si="13"/>
        <v/>
      </c>
      <c r="I166" s="38"/>
      <c r="J166" s="37" t="str">
        <f>IF($L166="","",CONCATENATE(VLOOKUP(A166,Clients!B$3:K$702,9)))</f>
        <v/>
      </c>
      <c r="K166" s="317"/>
    </row>
    <row r="167" spans="1:11" ht="12.75" customHeight="1">
      <c r="A167" s="174"/>
      <c r="B167" s="329" t="str">
        <f>IF(A167="","",CONCATENATE(VLOOKUP(A167,Clients!B$3:K866,2),VLOOKUP(A167,Clients!B$3:K866,3,)))</f>
        <v/>
      </c>
      <c r="C167" s="36" t="s">
        <v>1474</v>
      </c>
      <c r="D167" s="38"/>
      <c r="E167" s="339"/>
      <c r="F167" s="38" t="str">
        <f t="shared" si="11"/>
        <v/>
      </c>
      <c r="G167" s="34" t="str">
        <f t="shared" si="12"/>
        <v/>
      </c>
      <c r="H167" s="340" t="str">
        <f t="shared" si="13"/>
        <v/>
      </c>
      <c r="I167" s="38"/>
      <c r="J167" s="37" t="str">
        <f>IF($L167="","",CONCATENATE(VLOOKUP(A167,Clients!B$3:K$702,9)))</f>
        <v/>
      </c>
      <c r="K167" s="317"/>
    </row>
    <row r="168" spans="1:11" ht="12.75" customHeight="1">
      <c r="A168" s="174"/>
      <c r="B168" s="329" t="str">
        <f>IF(A168="","",CONCATENATE(VLOOKUP(A168,Clients!B$3:K867,2),VLOOKUP(A168,Clients!B$3:K867,3,)))</f>
        <v/>
      </c>
      <c r="C168" s="36" t="s">
        <v>1475</v>
      </c>
      <c r="D168" s="38"/>
      <c r="E168" s="339"/>
      <c r="F168" s="38" t="str">
        <f t="shared" si="11"/>
        <v/>
      </c>
      <c r="G168" s="34" t="str">
        <f t="shared" si="12"/>
        <v/>
      </c>
      <c r="H168" s="340" t="str">
        <f t="shared" si="13"/>
        <v/>
      </c>
      <c r="I168" s="38"/>
      <c r="J168" s="37" t="str">
        <f>IF($L168="","",CONCATENATE(VLOOKUP(A168,Clients!B$3:K$702,9)))</f>
        <v/>
      </c>
      <c r="K168" s="317"/>
    </row>
    <row r="169" spans="1:11" ht="12.75" customHeight="1">
      <c r="A169" s="174"/>
      <c r="B169" s="329" t="str">
        <f>IF(A169="","",CONCATENATE(VLOOKUP(A169,Clients!B$3:K868,2),VLOOKUP(A169,Clients!B$3:K868,3,)))</f>
        <v/>
      </c>
      <c r="C169" s="36" t="s">
        <v>1476</v>
      </c>
      <c r="D169" s="38"/>
      <c r="E169" s="339"/>
      <c r="F169" s="38" t="str">
        <f t="shared" si="11"/>
        <v/>
      </c>
      <c r="G169" s="34" t="str">
        <f t="shared" si="12"/>
        <v/>
      </c>
      <c r="H169" s="340" t="str">
        <f t="shared" si="13"/>
        <v/>
      </c>
      <c r="I169" s="38"/>
      <c r="J169" s="37" t="str">
        <f>IF($L169="","",CONCATENATE(VLOOKUP(A169,Clients!B$3:K$702,9)))</f>
        <v/>
      </c>
      <c r="K169" s="317"/>
    </row>
    <row r="170" spans="1:11" ht="12.75" customHeight="1">
      <c r="A170" s="174"/>
      <c r="B170" s="329" t="str">
        <f>IF(A170="","",CONCATENATE(VLOOKUP(A170,Clients!B$3:K869,2),VLOOKUP(A170,Clients!B$3:K869,3,)))</f>
        <v/>
      </c>
      <c r="C170" s="36" t="s">
        <v>1477</v>
      </c>
      <c r="D170" s="38"/>
      <c r="E170" s="339"/>
      <c r="F170" s="38" t="str">
        <f t="shared" si="11"/>
        <v/>
      </c>
      <c r="G170" s="34" t="str">
        <f t="shared" si="12"/>
        <v/>
      </c>
      <c r="H170" s="340" t="str">
        <f t="shared" si="13"/>
        <v/>
      </c>
      <c r="I170" s="38"/>
      <c r="J170" s="37" t="str">
        <f>IF($L170="","",CONCATENATE(VLOOKUP(A170,Clients!B$3:K$702,9)))</f>
        <v/>
      </c>
      <c r="K170" s="317"/>
    </row>
    <row r="171" spans="1:11" ht="12.75" customHeight="1">
      <c r="A171" s="174"/>
      <c r="B171" s="329" t="str">
        <f>IF(A171="","",CONCATENATE(VLOOKUP(A171,Clients!B$3:K870,2),VLOOKUP(A171,Clients!B$3:K870,3,)))</f>
        <v/>
      </c>
      <c r="C171" s="36" t="s">
        <v>1478</v>
      </c>
      <c r="D171" s="38"/>
      <c r="E171" s="339"/>
      <c r="F171" s="38" t="str">
        <f t="shared" si="11"/>
        <v/>
      </c>
      <c r="G171" s="34" t="str">
        <f t="shared" si="12"/>
        <v/>
      </c>
      <c r="H171" s="340" t="str">
        <f t="shared" si="13"/>
        <v/>
      </c>
      <c r="I171" s="38"/>
      <c r="J171" s="37" t="str">
        <f>IF($L171="","",CONCATENATE(VLOOKUP(A171,Clients!B$3:K$702,9)))</f>
        <v/>
      </c>
      <c r="K171" s="317"/>
    </row>
    <row r="172" spans="1:11" ht="12.75" customHeight="1">
      <c r="A172" s="174"/>
      <c r="B172" s="329" t="str">
        <f>IF(A172="","",CONCATENATE(VLOOKUP(A172,Clients!B$3:K871,2),VLOOKUP(A172,Clients!B$3:K871,3,)))</f>
        <v/>
      </c>
      <c r="C172" s="36" t="s">
        <v>1479</v>
      </c>
      <c r="D172" s="38"/>
      <c r="E172" s="339"/>
      <c r="F172" s="38" t="str">
        <f t="shared" si="11"/>
        <v/>
      </c>
      <c r="G172" s="34" t="str">
        <f t="shared" si="12"/>
        <v/>
      </c>
      <c r="H172" s="340" t="str">
        <f t="shared" si="13"/>
        <v/>
      </c>
      <c r="I172" s="38"/>
      <c r="J172" s="37" t="str">
        <f>IF($L172="","",CONCATENATE(VLOOKUP(A172,Clients!B$3:K$702,9)))</f>
        <v/>
      </c>
      <c r="K172" s="317"/>
    </row>
    <row r="173" spans="1:11" ht="12.75" customHeight="1">
      <c r="A173" s="174"/>
      <c r="B173" s="329" t="str">
        <f>IF(A173="","",CONCATENATE(VLOOKUP(A173,Clients!B$3:K872,2),VLOOKUP(A173,Clients!B$3:K872,3,)))</f>
        <v/>
      </c>
      <c r="C173" s="36" t="s">
        <v>1480</v>
      </c>
      <c r="D173" s="38"/>
      <c r="E173" s="339"/>
      <c r="F173" s="38" t="str">
        <f t="shared" si="11"/>
        <v/>
      </c>
      <c r="G173" s="34" t="str">
        <f t="shared" si="12"/>
        <v/>
      </c>
      <c r="H173" s="340" t="str">
        <f t="shared" si="13"/>
        <v/>
      </c>
      <c r="I173" s="38"/>
      <c r="J173" s="37" t="str">
        <f>IF($L173="","",CONCATENATE(VLOOKUP(A173,Clients!B$3:K$702,9)))</f>
        <v/>
      </c>
      <c r="K173" s="317"/>
    </row>
    <row r="174" spans="1:11" ht="12.75" customHeight="1">
      <c r="A174" s="174"/>
      <c r="B174" s="329" t="str">
        <f>IF(A174="","",CONCATENATE(VLOOKUP(A174,Clients!B$3:K873,2),VLOOKUP(A174,Clients!B$3:K873,3,)))</f>
        <v/>
      </c>
      <c r="C174" s="36" t="s">
        <v>1481</v>
      </c>
      <c r="D174" s="38"/>
      <c r="E174" s="339"/>
      <c r="F174" s="38" t="str">
        <f t="shared" si="11"/>
        <v/>
      </c>
      <c r="G174" s="34" t="str">
        <f t="shared" si="12"/>
        <v/>
      </c>
      <c r="H174" s="340" t="str">
        <f t="shared" si="13"/>
        <v/>
      </c>
      <c r="I174" s="38"/>
      <c r="J174" s="37" t="str">
        <f>IF($L174="","",CONCATENATE(VLOOKUP(A174,Clients!B$3:K$702,9)))</f>
        <v/>
      </c>
      <c r="K174" s="317"/>
    </row>
    <row r="175" spans="1:11" ht="12.75" customHeight="1">
      <c r="A175" s="174"/>
      <c r="B175" s="329" t="str">
        <f>IF(A175="","",CONCATENATE(VLOOKUP(A175,Clients!B$3:K874,2),VLOOKUP(A175,Clients!B$3:K874,3,)))</f>
        <v/>
      </c>
      <c r="C175" s="36" t="s">
        <v>1482</v>
      </c>
      <c r="D175" s="38"/>
      <c r="E175" s="339"/>
      <c r="F175" s="38" t="str">
        <f t="shared" si="11"/>
        <v/>
      </c>
      <c r="G175" s="34" t="str">
        <f t="shared" si="12"/>
        <v/>
      </c>
      <c r="H175" s="340" t="str">
        <f t="shared" si="13"/>
        <v/>
      </c>
      <c r="I175" s="38"/>
      <c r="J175" s="37" t="str">
        <f>IF($L175="","",CONCATENATE(VLOOKUP(A175,Clients!B$3:K$702,9)))</f>
        <v/>
      </c>
      <c r="K175" s="317"/>
    </row>
    <row r="176" spans="1:11" ht="12.75" customHeight="1">
      <c r="A176" s="174"/>
      <c r="B176" s="329" t="str">
        <f>IF(A176="","",CONCATENATE(VLOOKUP(A176,Clients!B$3:K875,2),VLOOKUP(A176,Clients!B$3:K875,3,)))</f>
        <v/>
      </c>
      <c r="C176" s="36" t="s">
        <v>1483</v>
      </c>
      <c r="D176" s="38"/>
      <c r="E176" s="339"/>
      <c r="F176" s="38" t="str">
        <f t="shared" si="11"/>
        <v/>
      </c>
      <c r="G176" s="34" t="str">
        <f t="shared" si="12"/>
        <v/>
      </c>
      <c r="H176" s="340" t="str">
        <f t="shared" si="13"/>
        <v/>
      </c>
      <c r="I176" s="38"/>
      <c r="J176" s="37" t="str">
        <f>IF($L176="","",CONCATENATE(VLOOKUP(A176,Clients!B$3:K$702,9)))</f>
        <v/>
      </c>
      <c r="K176" s="317"/>
    </row>
    <row r="177" spans="1:18" ht="12.75" customHeight="1">
      <c r="A177" s="8"/>
      <c r="B177" s="82"/>
      <c r="C177" s="8"/>
      <c r="D177" s="8"/>
      <c r="E177" s="8"/>
      <c r="F177" s="8"/>
      <c r="G177" s="8"/>
      <c r="H177" s="8"/>
      <c r="I177" s="8"/>
      <c r="J177" s="37" t="str">
        <f>IF($L177="","",CONCATENATE(VLOOKUP(A177,Clients!B$3:K$702,9)))</f>
        <v/>
      </c>
      <c r="K177" s="8"/>
      <c r="L177" s="8"/>
    </row>
    <row r="178" spans="1:18" ht="36.950000000000003" customHeight="1">
      <c r="A178" s="455" t="s">
        <v>1300</v>
      </c>
      <c r="B178" s="455"/>
      <c r="C178" s="455"/>
      <c r="D178" s="455"/>
      <c r="E178" s="455"/>
      <c r="F178" s="455"/>
      <c r="G178" s="455"/>
      <c r="H178" s="455"/>
      <c r="I178" s="455"/>
      <c r="J178" s="37" t="str">
        <f>IF($L178="","",CONCATENATE(VLOOKUP(A178,Clients!B$3:K$702,9)))</f>
        <v/>
      </c>
      <c r="K178" s="328"/>
      <c r="L178" s="328"/>
      <c r="M178" s="328"/>
      <c r="N178" s="328"/>
      <c r="O178" s="328"/>
      <c r="P178" s="329" t="s">
        <v>1306</v>
      </c>
      <c r="Q178" s="329" t="s">
        <v>1312</v>
      </c>
      <c r="R178" s="330" t="s">
        <v>1313</v>
      </c>
    </row>
    <row r="179" spans="1:18" ht="12.75" customHeight="1">
      <c r="A179" s="10" t="s">
        <v>1315</v>
      </c>
      <c r="B179" s="10" t="s">
        <v>1307</v>
      </c>
      <c r="C179" s="10" t="s">
        <v>1301</v>
      </c>
      <c r="D179" s="10" t="s">
        <v>1302</v>
      </c>
      <c r="E179" s="331" t="s">
        <v>1303</v>
      </c>
      <c r="F179" s="10" t="s">
        <v>1310</v>
      </c>
      <c r="G179" s="10" t="s">
        <v>1314</v>
      </c>
      <c r="H179" s="10" t="s">
        <v>1306</v>
      </c>
      <c r="I179" s="10" t="s">
        <v>1309</v>
      </c>
      <c r="J179" s="37" t="str">
        <f>IF($L179="","",CONCATENATE(VLOOKUP(A179,Clients!B$3:K$702,9)))</f>
        <v/>
      </c>
      <c r="K179" s="10" t="s">
        <v>1305</v>
      </c>
      <c r="M179" s="332" t="s">
        <v>817</v>
      </c>
      <c r="N179" s="333">
        <v>42005</v>
      </c>
      <c r="O179" s="333">
        <v>42035</v>
      </c>
      <c r="P179" s="334">
        <f>SUMPRODUCT((D180:D249&gt;=N179)*(D180:D249&lt;=O179)*(H180:H249="oui")*E180:E249)</f>
        <v>11077.89</v>
      </c>
      <c r="Q179" s="335">
        <f>R179-P179</f>
        <v>0</v>
      </c>
      <c r="R179" s="336">
        <f>SUMPRODUCT((D180:D249&gt;=N179)*(D180:D249&lt;=O179)*E180:E249)</f>
        <v>11077.89</v>
      </c>
    </row>
    <row r="180" spans="1:18" ht="12.75" customHeight="1">
      <c r="A180" s="174">
        <v>455</v>
      </c>
      <c r="B180" s="329" t="str">
        <f>CONCATENATE(VLOOKUP(A180,Clients!$B$3:$J$500,2),VLOOKUP(A180,Clients!$B$3:$J$500,3)," ",VLOOKUP(A180,Clients!$B$3:$J$500,4))</f>
        <v>Mr ROHART JEREMIE</v>
      </c>
      <c r="C180" s="36" t="s">
        <v>1316</v>
      </c>
      <c r="D180" s="38">
        <v>42019</v>
      </c>
      <c r="E180" s="339">
        <v>10277.99</v>
      </c>
      <c r="F180" s="33">
        <f>IF(D180="","",D180+30)</f>
        <v>42049</v>
      </c>
      <c r="G180" s="34">
        <f>IF(H180="oui",I180-D180,"")</f>
        <v>32</v>
      </c>
      <c r="H180" s="340" t="str">
        <f>IF(I180="","","oui")</f>
        <v>oui</v>
      </c>
      <c r="I180" s="33">
        <v>42051</v>
      </c>
      <c r="J180" s="37" t="str">
        <f>IF($L180="","",CONCATENATE(VLOOKUP(A180,Clients!B$3:K$702,9)))</f>
        <v/>
      </c>
      <c r="K180" s="317"/>
      <c r="M180" s="341" t="s">
        <v>1311</v>
      </c>
      <c r="N180" s="342">
        <v>42036</v>
      </c>
      <c r="O180" s="342">
        <v>42063</v>
      </c>
      <c r="P180" s="334">
        <f>SUMPRODUCT((D180:D249&gt;=N180)*(D180:D249&lt;=O180)*(H180:H249="oui")*E180:E249)</f>
        <v>22886.899999999998</v>
      </c>
      <c r="Q180" s="335">
        <f t="shared" ref="Q180:Q190" si="14">R180-P180</f>
        <v>0</v>
      </c>
      <c r="R180" s="336">
        <f>SUMPRODUCT((D180:D249&gt;=N180)*(D180:D249&lt;=O180)*E180:E249)</f>
        <v>22886.899999999998</v>
      </c>
    </row>
    <row r="181" spans="1:18" ht="12.75" customHeight="1">
      <c r="A181" s="174">
        <v>441</v>
      </c>
      <c r="B181" s="329" t="str">
        <f>CONCATENATE(VLOOKUP(A181,Clients!$B$3:$J$500,2),VLOOKUP(A181,Clients!$B$3:$J$500,3)," ",VLOOKUP(A181,Clients!$B$3:$J$500,4))</f>
        <v>Mr et Mme MONTETY ETIENNE</v>
      </c>
      <c r="C181" s="36" t="s">
        <v>1317</v>
      </c>
      <c r="D181" s="340">
        <v>42020</v>
      </c>
      <c r="E181" s="339">
        <v>733.29</v>
      </c>
      <c r="F181" s="33">
        <f t="shared" ref="F181:F244" si="15">IF(D181="","",D181+30)</f>
        <v>42050</v>
      </c>
      <c r="G181" s="34">
        <f t="shared" ref="G181:G244" si="16">IF(H181="oui",I181-D181,"")</f>
        <v>435</v>
      </c>
      <c r="H181" s="340" t="str">
        <f t="shared" ref="H181:H244" si="17">IF(I181="","","oui")</f>
        <v>oui</v>
      </c>
      <c r="I181" s="33">
        <v>42455</v>
      </c>
      <c r="J181" s="37" t="str">
        <f>IF($L181="","",CONCATENATE(VLOOKUP(A181,Clients!B$3:K$702,9)))</f>
        <v/>
      </c>
      <c r="K181" s="317"/>
      <c r="M181" s="332" t="s">
        <v>819</v>
      </c>
      <c r="N181" s="333">
        <v>42064</v>
      </c>
      <c r="O181" s="333">
        <v>42094</v>
      </c>
      <c r="P181" s="334">
        <f>SUMPRODUCT((D180:D249&gt;=N181)*(D180:D249&lt;=O181)*(H180:H249="oui")*E180:E249)</f>
        <v>27129.170000000002</v>
      </c>
      <c r="Q181" s="335">
        <f t="shared" si="14"/>
        <v>381.72000000000116</v>
      </c>
      <c r="R181" s="336">
        <f>SUMPRODUCT((D180:D249&gt;=N181)*(D180:D249&lt;=O181)*E180:E249)</f>
        <v>27510.890000000003</v>
      </c>
    </row>
    <row r="182" spans="1:18" ht="12.75" customHeight="1">
      <c r="A182" s="174">
        <v>460</v>
      </c>
      <c r="B182" s="329" t="str">
        <f>CONCATENATE(VLOOKUP(A182,Clients!$B$3:$J$500,2),VLOOKUP(A182,Clients!$B$3:$J$500,3)," ",VLOOKUP(A182,Clients!$B$3:$J$500,4))</f>
        <v>Melle PAUL  JULIE</v>
      </c>
      <c r="C182" s="36" t="s">
        <v>1318</v>
      </c>
      <c r="D182" s="340">
        <v>42020</v>
      </c>
      <c r="E182" s="339">
        <v>66.61</v>
      </c>
      <c r="F182" s="33">
        <f t="shared" si="15"/>
        <v>42050</v>
      </c>
      <c r="G182" s="34">
        <f t="shared" si="16"/>
        <v>59</v>
      </c>
      <c r="H182" s="340" t="str">
        <f t="shared" si="17"/>
        <v>oui</v>
      </c>
      <c r="I182" s="33">
        <v>42079</v>
      </c>
      <c r="J182" s="37" t="str">
        <f>IF($L182="","",CONCATENATE(VLOOKUP(A182,Clients!B$3:K$702,9)))</f>
        <v/>
      </c>
      <c r="K182" s="317"/>
      <c r="M182" s="332" t="s">
        <v>820</v>
      </c>
      <c r="N182" s="333">
        <v>42095</v>
      </c>
      <c r="O182" s="333">
        <v>42124</v>
      </c>
      <c r="P182" s="334">
        <f>SUMPRODUCT((D180:D249&gt;=N182)*(D180:D249&lt;=O182)*(H180:H249="oui")*E180:E249)</f>
        <v>0</v>
      </c>
      <c r="Q182" s="335">
        <f t="shared" si="14"/>
        <v>0</v>
      </c>
      <c r="R182" s="336">
        <f>SUMPRODUCT((D180:D249&gt;=N182)*(D180:D249&lt;=O182)*E180:E249)</f>
        <v>0</v>
      </c>
    </row>
    <row r="183" spans="1:18" ht="12.75" customHeight="1">
      <c r="A183" s="174">
        <v>380</v>
      </c>
      <c r="B183" s="329" t="str">
        <f>CONCATENATE(VLOOKUP(A183,Clients!$B$3:$J$500,2),VLOOKUP(A183,Clients!$B$3:$J$500,3)," ",VLOOKUP(A183,Clients!$B$3:$J$500,4))</f>
        <v>Mr ANDREW JACKSON</v>
      </c>
      <c r="C183" s="36" t="s">
        <v>1319</v>
      </c>
      <c r="D183" s="340">
        <v>42038</v>
      </c>
      <c r="E183" s="339">
        <v>5455.48</v>
      </c>
      <c r="F183" s="33">
        <f t="shared" si="15"/>
        <v>42068</v>
      </c>
      <c r="G183" s="34">
        <f t="shared" si="16"/>
        <v>7</v>
      </c>
      <c r="H183" s="340" t="str">
        <f t="shared" si="17"/>
        <v>oui</v>
      </c>
      <c r="I183" s="33">
        <v>42045</v>
      </c>
      <c r="J183" s="37" t="str">
        <f>IF($L183="","",CONCATENATE(VLOOKUP(A183,Clients!B$3:K$702,9)))</f>
        <v/>
      </c>
      <c r="K183" s="317"/>
      <c r="M183" s="341" t="s">
        <v>821</v>
      </c>
      <c r="N183" s="342">
        <v>42125</v>
      </c>
      <c r="O183" s="342">
        <v>42155</v>
      </c>
      <c r="P183" s="334">
        <f>SUMPRODUCT((D180:D249&gt;=N183)*(D180:D249&lt;=O183)*(H180:H249="oui")*E180:E249)</f>
        <v>25464.579999999998</v>
      </c>
      <c r="Q183" s="335">
        <f t="shared" si="14"/>
        <v>0</v>
      </c>
      <c r="R183" s="336">
        <f>SUMPRODUCT((D180:D249&gt;=N183)*(D180:D249&lt;=O183)*E180:E249)</f>
        <v>25464.579999999998</v>
      </c>
    </row>
    <row r="184" spans="1:18" ht="12.75" customHeight="1">
      <c r="A184" s="174">
        <v>455</v>
      </c>
      <c r="B184" s="329" t="str">
        <f>CONCATENATE(VLOOKUP(A184,Clients!$B$3:$J$500,2),VLOOKUP(A184,Clients!$B$3:$J$500,3)," ",VLOOKUP(A184,Clients!$B$3:$J$500,4))</f>
        <v>Mr ROHART JEREMIE</v>
      </c>
      <c r="C184" s="36" t="s">
        <v>1320</v>
      </c>
      <c r="D184" s="340">
        <v>42038</v>
      </c>
      <c r="E184" s="339">
        <v>2329.73</v>
      </c>
      <c r="F184" s="33">
        <f t="shared" si="15"/>
        <v>42068</v>
      </c>
      <c r="G184" s="34">
        <f t="shared" si="16"/>
        <v>13</v>
      </c>
      <c r="H184" s="340" t="str">
        <f t="shared" si="17"/>
        <v>oui</v>
      </c>
      <c r="I184" s="33">
        <v>42051</v>
      </c>
      <c r="J184" s="37" t="str">
        <f>IF($L184="","",CONCATENATE(VLOOKUP(A184,Clients!B$3:K$702,9)))</f>
        <v/>
      </c>
      <c r="K184" s="317"/>
      <c r="M184" s="332" t="s">
        <v>822</v>
      </c>
      <c r="N184" s="333">
        <v>42156</v>
      </c>
      <c r="O184" s="333">
        <v>42185</v>
      </c>
      <c r="P184" s="334">
        <f>SUMPRODUCT((D180:D249&gt;=N184)*(D180:D249&lt;=O184)*(H180:H249="oui")*E180:E249)</f>
        <v>3128.37</v>
      </c>
      <c r="Q184" s="335">
        <f t="shared" si="14"/>
        <v>0</v>
      </c>
      <c r="R184" s="336">
        <f>SUMPRODUCT((D180:D249&gt;=N184)*(D180:D249&lt;=O184)*E180:E249)</f>
        <v>3128.37</v>
      </c>
    </row>
    <row r="185" spans="1:18" ht="12.75" customHeight="1">
      <c r="A185" s="174">
        <v>68</v>
      </c>
      <c r="B185" s="329" t="str">
        <f>CONCATENATE(VLOOKUP(A185,Clients!$B$3:$J$500,2),VLOOKUP(A185,Clients!$B$3:$J$500,3)," ",VLOOKUP(A185,Clients!$B$3:$J$500,4))</f>
        <v xml:space="preserve">MME PALMIER </v>
      </c>
      <c r="C185" s="36" t="s">
        <v>1321</v>
      </c>
      <c r="D185" s="340">
        <v>42039</v>
      </c>
      <c r="E185" s="339">
        <v>2795.82</v>
      </c>
      <c r="F185" s="33">
        <f t="shared" si="15"/>
        <v>42069</v>
      </c>
      <c r="G185" s="34">
        <f t="shared" si="16"/>
        <v>9</v>
      </c>
      <c r="H185" s="340" t="str">
        <f t="shared" si="17"/>
        <v>oui</v>
      </c>
      <c r="I185" s="33">
        <v>42048</v>
      </c>
      <c r="J185" s="37" t="str">
        <f>IF($L185="","",CONCATENATE(VLOOKUP(A185,Clients!B$3:K$702,9)))</f>
        <v/>
      </c>
      <c r="K185" s="317"/>
      <c r="M185" s="332" t="s">
        <v>823</v>
      </c>
      <c r="N185" s="333">
        <v>42186</v>
      </c>
      <c r="O185" s="333">
        <v>42216</v>
      </c>
      <c r="P185" s="334">
        <f>SUMPRODUCT((D180:D249&gt;=N185)*(D180:D249&lt;=O185)*(H180:H249="oui")*E180:E249)</f>
        <v>28177.8</v>
      </c>
      <c r="Q185" s="335">
        <f t="shared" si="14"/>
        <v>458.40000000000146</v>
      </c>
      <c r="R185" s="336">
        <f>SUMPRODUCT((D180:D249&gt;=N185)*(D180:D249&lt;=O185)*E180:E249)</f>
        <v>28636.2</v>
      </c>
    </row>
    <row r="186" spans="1:18" ht="12.75" customHeight="1">
      <c r="A186" s="174">
        <v>421</v>
      </c>
      <c r="B186" s="329" t="str">
        <f>CONCATENATE(VLOOKUP(A186,Clients!$B$3:$J$500,2),VLOOKUP(A186,Clients!$B$3:$J$500,3)," ",VLOOKUP(A186,Clients!$B$3:$J$500,4))</f>
        <v>Mr  PELLIER FABIEN</v>
      </c>
      <c r="C186" s="36" t="s">
        <v>1322</v>
      </c>
      <c r="D186" s="340">
        <v>42044</v>
      </c>
      <c r="E186" s="339">
        <v>3615.26</v>
      </c>
      <c r="F186" s="33">
        <f t="shared" si="15"/>
        <v>42074</v>
      </c>
      <c r="G186" s="34">
        <f t="shared" si="16"/>
        <v>23</v>
      </c>
      <c r="H186" s="340" t="str">
        <f t="shared" si="17"/>
        <v>oui</v>
      </c>
      <c r="I186" s="33">
        <v>42067</v>
      </c>
      <c r="J186" s="37" t="str">
        <f>IF($L186="","",CONCATENATE(VLOOKUP(A186,Clients!B$3:K$702,9)))</f>
        <v/>
      </c>
      <c r="K186" s="317"/>
      <c r="M186" s="341" t="s">
        <v>824</v>
      </c>
      <c r="N186" s="342">
        <v>42217</v>
      </c>
      <c r="O186" s="342">
        <v>42247</v>
      </c>
      <c r="P186" s="334">
        <f>SUMPRODUCT((D180:D249&gt;=N186)*(D180:D249&lt;=O186)*(H180:H249="oui")*E180:E249)</f>
        <v>19514.84</v>
      </c>
      <c r="Q186" s="335">
        <f t="shared" si="14"/>
        <v>703.9900000000016</v>
      </c>
      <c r="R186" s="336">
        <f>SUMPRODUCT((D180:D249&gt;=N186)*(D180:D249&lt;=O186)*E180:E249)</f>
        <v>20218.830000000002</v>
      </c>
    </row>
    <row r="187" spans="1:18" ht="12.75" customHeight="1">
      <c r="A187" s="174">
        <v>428</v>
      </c>
      <c r="B187" s="329" t="str">
        <f>CONCATENATE(VLOOKUP(A187,Clients!$B$3:$J$500,2),VLOOKUP(A187,Clients!$B$3:$J$500,3)," ",VLOOKUP(A187,Clients!$B$3:$J$500,4))</f>
        <v xml:space="preserve">Mr et Mme ROGER </v>
      </c>
      <c r="C187" s="36" t="s">
        <v>1323</v>
      </c>
      <c r="D187" s="340">
        <v>42047</v>
      </c>
      <c r="E187" s="339">
        <v>7702.81</v>
      </c>
      <c r="F187" s="33">
        <f t="shared" si="15"/>
        <v>42077</v>
      </c>
      <c r="G187" s="34">
        <f t="shared" si="16"/>
        <v>16</v>
      </c>
      <c r="H187" s="340" t="str">
        <f t="shared" si="17"/>
        <v>oui</v>
      </c>
      <c r="I187" s="33">
        <v>42063</v>
      </c>
      <c r="J187" s="37" t="str">
        <f>IF($L187="","",CONCATENATE(VLOOKUP(A187,Clients!B$3:K$702,9)))</f>
        <v/>
      </c>
      <c r="K187" s="317"/>
      <c r="M187" s="332" t="s">
        <v>813</v>
      </c>
      <c r="N187" s="333">
        <v>42248</v>
      </c>
      <c r="O187" s="333">
        <v>42277</v>
      </c>
      <c r="P187" s="334">
        <f>SUMPRODUCT((D180:D249&gt;=N187)*(D180:D249&lt;=O187)*(H180:H249="oui")*E180:E249)</f>
        <v>23647.49</v>
      </c>
      <c r="Q187" s="335">
        <f t="shared" si="14"/>
        <v>4372.4200000000019</v>
      </c>
      <c r="R187" s="336">
        <f>SUMPRODUCT((D180:D249&gt;=N187)*(D180:D249&lt;=O187)*E180:E249)</f>
        <v>28019.910000000003</v>
      </c>
    </row>
    <row r="188" spans="1:18" ht="12.75" customHeight="1">
      <c r="A188" s="174">
        <v>408</v>
      </c>
      <c r="B188" s="329" t="str">
        <f>CONCATENATE(VLOOKUP(A188,Clients!$B$3:$J$500,2),VLOOKUP(A188,Clients!$B$3:$J$500,3)," ",VLOOKUP(A188,Clients!$B$3:$J$500,4))</f>
        <v>Mr et Mme DUBOIS JEAN MICHEL</v>
      </c>
      <c r="C188" s="36" t="s">
        <v>1324</v>
      </c>
      <c r="D188" s="340">
        <v>42062</v>
      </c>
      <c r="E188" s="339">
        <v>987.8</v>
      </c>
      <c r="F188" s="33">
        <f t="shared" si="15"/>
        <v>42092</v>
      </c>
      <c r="G188" s="34">
        <f t="shared" si="16"/>
        <v>6</v>
      </c>
      <c r="H188" s="340" t="str">
        <f t="shared" si="17"/>
        <v>oui</v>
      </c>
      <c r="I188" s="33">
        <v>42068</v>
      </c>
      <c r="J188" s="37" t="str">
        <f>IF($L188="","",CONCATENATE(VLOOKUP(A188,Clients!B$3:K$702,9)))</f>
        <v/>
      </c>
      <c r="K188" s="317"/>
      <c r="M188" s="332" t="s">
        <v>814</v>
      </c>
      <c r="N188" s="333">
        <v>42278</v>
      </c>
      <c r="O188" s="333">
        <v>42308</v>
      </c>
      <c r="P188" s="334">
        <f>SUMPRODUCT((D180:D249&gt;=N188)*(D180:D249&lt;=O188)*(H180:H249="oui")*E180:E249)</f>
        <v>14562.359999999999</v>
      </c>
      <c r="Q188" s="335">
        <f t="shared" si="14"/>
        <v>0</v>
      </c>
      <c r="R188" s="336">
        <f>SUMPRODUCT((D180:D249&gt;=N188)*(D180:D249&lt;=O188)*E180:E249)</f>
        <v>14562.359999999999</v>
      </c>
    </row>
    <row r="189" spans="1:18" ht="12.75" customHeight="1">
      <c r="A189" s="174">
        <v>454</v>
      </c>
      <c r="B189" s="329" t="str">
        <f>CONCATENATE(VLOOKUP(A189,Clients!$B$3:$J$500,2),VLOOKUP(A189,Clients!$B$3:$J$500,3)," ",VLOOKUP(A189,Clients!$B$3:$J$500,4))</f>
        <v xml:space="preserve">Mr et Mme WOOD / GRAHAME </v>
      </c>
      <c r="C189" s="36" t="s">
        <v>1325</v>
      </c>
      <c r="D189" s="340">
        <v>42094</v>
      </c>
      <c r="E189" s="339">
        <v>9467.9500000000007</v>
      </c>
      <c r="F189" s="33">
        <f t="shared" si="15"/>
        <v>42124</v>
      </c>
      <c r="G189" s="34">
        <f t="shared" si="16"/>
        <v>15</v>
      </c>
      <c r="H189" s="340" t="str">
        <f t="shared" si="17"/>
        <v>oui</v>
      </c>
      <c r="I189" s="33">
        <v>42109</v>
      </c>
      <c r="J189" s="37" t="str">
        <f>IF($L189="","",CONCATENATE(VLOOKUP(A189,Clients!B$3:K$702,9)))</f>
        <v/>
      </c>
      <c r="K189" s="317"/>
      <c r="M189" s="341" t="s">
        <v>815</v>
      </c>
      <c r="N189" s="342">
        <v>42309</v>
      </c>
      <c r="O189" s="342">
        <v>42338</v>
      </c>
      <c r="P189" s="334">
        <f>SUMPRODUCT((D180:D249&gt;=N189)*(D180:D249&lt;=O189)*(H180:H249="oui")*E180:E249)</f>
        <v>44399.7</v>
      </c>
      <c r="Q189" s="335">
        <f t="shared" si="14"/>
        <v>3113.7000000000044</v>
      </c>
      <c r="R189" s="336">
        <f>SUMPRODUCT((D180:D249&gt;=N189)*(D180:D249&lt;=O189)*E180:E249)</f>
        <v>47513.4</v>
      </c>
    </row>
    <row r="190" spans="1:18" ht="12.75" customHeight="1">
      <c r="A190" s="174">
        <v>454</v>
      </c>
      <c r="B190" s="329" t="str">
        <f>CONCATENATE(VLOOKUP(A190,Clients!$B$3:$J$500,2),VLOOKUP(A190,Clients!$B$3:$J$500,3)," ",VLOOKUP(A190,Clients!$B$3:$J$500,4))</f>
        <v xml:space="preserve">Mr et Mme WOOD / GRAHAME </v>
      </c>
      <c r="C190" s="36" t="s">
        <v>1326</v>
      </c>
      <c r="D190" s="340">
        <v>42094</v>
      </c>
      <c r="E190" s="339">
        <v>2702.99</v>
      </c>
      <c r="F190" s="33">
        <f t="shared" si="15"/>
        <v>42124</v>
      </c>
      <c r="G190" s="34">
        <f t="shared" si="16"/>
        <v>15</v>
      </c>
      <c r="H190" s="340" t="str">
        <f t="shared" si="17"/>
        <v>oui</v>
      </c>
      <c r="I190" s="33">
        <v>42109</v>
      </c>
      <c r="J190" s="37" t="str">
        <f>IF($L190="","",CONCATENATE(VLOOKUP(A190,Clients!B$3:K$702,9)))</f>
        <v/>
      </c>
      <c r="K190" s="317"/>
      <c r="M190" s="332" t="s">
        <v>816</v>
      </c>
      <c r="N190" s="333">
        <v>42339</v>
      </c>
      <c r="O190" s="333">
        <v>42369</v>
      </c>
      <c r="P190" s="334">
        <f>SUMPRODUCT((D180:D249&gt;=N190)*(D180:D249&lt;=O190)*(H180:H249="oui")*E180:E249)</f>
        <v>14358.339999999998</v>
      </c>
      <c r="Q190" s="335">
        <f t="shared" si="14"/>
        <v>0</v>
      </c>
      <c r="R190" s="336">
        <f>SUMPRODUCT((D180:D249&gt;=N190)*(D180:D249&lt;=O190)*E180:E249)</f>
        <v>14358.339999999998</v>
      </c>
    </row>
    <row r="191" spans="1:18" ht="12.75" customHeight="1">
      <c r="A191" s="174">
        <v>380</v>
      </c>
      <c r="B191" s="329" t="str">
        <f>CONCATENATE(VLOOKUP(A191,Clients!$B$3:$J$500,2),VLOOKUP(A191,Clients!$B$3:$J$500,3)," ",VLOOKUP(A191,Clients!$B$3:$J$500,4))</f>
        <v>Mr ANDREW JACKSON</v>
      </c>
      <c r="C191" s="36" t="s">
        <v>1327</v>
      </c>
      <c r="D191" s="340">
        <v>42094</v>
      </c>
      <c r="E191" s="339">
        <v>3500</v>
      </c>
      <c r="F191" s="33">
        <f t="shared" si="15"/>
        <v>42124</v>
      </c>
      <c r="G191" s="34">
        <f t="shared" si="16"/>
        <v>23</v>
      </c>
      <c r="H191" s="340" t="str">
        <f t="shared" si="17"/>
        <v>oui</v>
      </c>
      <c r="I191" s="33">
        <v>42117</v>
      </c>
      <c r="J191" s="37" t="str">
        <f>IF($L191="","",CONCATENATE(VLOOKUP(A191,Clients!B$3:K$702,9)))</f>
        <v/>
      </c>
      <c r="K191" s="317"/>
    </row>
    <row r="192" spans="1:18" ht="12.75" customHeight="1">
      <c r="A192" s="174">
        <v>484</v>
      </c>
      <c r="B192" s="329" t="str">
        <f>CONCATENATE(VLOOKUP(A192,Clients!$B$3:$J$500,2),VLOOKUP(A192,Clients!$B$3:$J$500,3)," ",VLOOKUP(A192,Clients!$B$3:$J$500,4))</f>
        <v>Mr JOSEPH YVES</v>
      </c>
      <c r="C192" s="36" t="s">
        <v>1328</v>
      </c>
      <c r="D192" s="340">
        <v>42094</v>
      </c>
      <c r="E192" s="339">
        <v>1334.94</v>
      </c>
      <c r="F192" s="33">
        <f t="shared" si="15"/>
        <v>42124</v>
      </c>
      <c r="G192" s="34">
        <f t="shared" si="16"/>
        <v>126</v>
      </c>
      <c r="H192" s="340" t="str">
        <f t="shared" si="17"/>
        <v>oui</v>
      </c>
      <c r="I192" s="33">
        <v>42220</v>
      </c>
      <c r="J192" s="37" t="str">
        <f>IF($L192="","",CONCATENATE(VLOOKUP(A192,Clients!B$3:K$702,9)))</f>
        <v/>
      </c>
      <c r="K192" s="317"/>
      <c r="P192" s="334">
        <f>SUM(P179:P190)</f>
        <v>234347.43999999997</v>
      </c>
      <c r="Q192" s="335">
        <f>SUM(Q179:Q190)</f>
        <v>9030.2300000000105</v>
      </c>
      <c r="R192" s="343">
        <f>SUM(R179:R190)</f>
        <v>243377.66999999995</v>
      </c>
    </row>
    <row r="193" spans="1:14" ht="12.75" customHeight="1">
      <c r="A193" s="174">
        <v>467</v>
      </c>
      <c r="B193" s="329" t="str">
        <f>CONCATENATE(VLOOKUP(A193,Clients!$B$3:$J$500,2),VLOOKUP(A193,Clients!$B$3:$J$500,3)," ",VLOOKUP(A193,Clients!$B$3:$J$500,4))</f>
        <v xml:space="preserve">Mme BRASSEAU </v>
      </c>
      <c r="C193" s="36" t="s">
        <v>1329</v>
      </c>
      <c r="D193" s="340">
        <v>42094</v>
      </c>
      <c r="E193" s="339">
        <v>59.97</v>
      </c>
      <c r="F193" s="33">
        <f t="shared" si="15"/>
        <v>42124</v>
      </c>
      <c r="G193" s="34" t="str">
        <f t="shared" si="16"/>
        <v/>
      </c>
      <c r="H193" s="340" t="str">
        <f t="shared" si="17"/>
        <v/>
      </c>
      <c r="I193" s="33"/>
      <c r="J193" s="37" t="str">
        <f>IF($L193="","",CONCATENATE(VLOOKUP(A193,Clients!B$3:K$702,9)))</f>
        <v/>
      </c>
      <c r="K193" s="317"/>
    </row>
    <row r="194" spans="1:14" ht="12.75" customHeight="1">
      <c r="A194" s="174">
        <v>423</v>
      </c>
      <c r="B194" s="329" t="str">
        <f>CONCATENATE(VLOOKUP(A194,Clients!$B$3:$J$500,2),VLOOKUP(A194,Clients!$B$3:$J$500,3)," ",VLOOKUP(A194,Clients!$B$3:$J$500,4))</f>
        <v xml:space="preserve">Mr et Mme TEXIER </v>
      </c>
      <c r="C194" s="36" t="s">
        <v>1330</v>
      </c>
      <c r="D194" s="340">
        <v>42094</v>
      </c>
      <c r="E194" s="339">
        <v>321.75</v>
      </c>
      <c r="F194" s="33">
        <f t="shared" si="15"/>
        <v>42124</v>
      </c>
      <c r="G194" s="34" t="str">
        <f t="shared" si="16"/>
        <v/>
      </c>
      <c r="H194" s="340" t="str">
        <f t="shared" si="17"/>
        <v/>
      </c>
      <c r="I194" s="33"/>
      <c r="J194" s="37" t="str">
        <f>IF($L194="","",CONCATENATE(VLOOKUP(A194,Clients!B$3:K$702,9)))</f>
        <v/>
      </c>
      <c r="K194" s="317"/>
    </row>
    <row r="195" spans="1:14" ht="12.75" customHeight="1">
      <c r="A195" s="174">
        <v>355</v>
      </c>
      <c r="B195" s="329" t="str">
        <f>CONCATENATE(VLOOKUP(A195,Clients!$B$3:$J$500,2),VLOOKUP(A195,Clients!$B$3:$J$500,3)," ",VLOOKUP(A195,Clients!$B$3:$J$500,4))</f>
        <v>Mr SICAUD SEBASTIEN</v>
      </c>
      <c r="C195" s="36" t="s">
        <v>1331</v>
      </c>
      <c r="D195" s="340">
        <v>42094</v>
      </c>
      <c r="E195" s="339">
        <v>10123.290000000001</v>
      </c>
      <c r="F195" s="33">
        <f t="shared" si="15"/>
        <v>42124</v>
      </c>
      <c r="G195" s="34">
        <f t="shared" si="16"/>
        <v>45</v>
      </c>
      <c r="H195" s="340" t="str">
        <f t="shared" si="17"/>
        <v>oui</v>
      </c>
      <c r="I195" s="33">
        <v>42139</v>
      </c>
      <c r="J195" s="37" t="str">
        <f>IF($L195="","",CONCATENATE(VLOOKUP(A195,Clients!B$3:K$702,9)))</f>
        <v/>
      </c>
      <c r="K195" s="317"/>
    </row>
    <row r="196" spans="1:14" ht="12.75" customHeight="1">
      <c r="A196" s="174">
        <v>192</v>
      </c>
      <c r="B196" s="329" t="str">
        <f>CONCATENATE(VLOOKUP(A196,Clients!$B$3:$J$500,2),VLOOKUP(A196,Clients!$B$3:$J$500,3)," ",VLOOKUP(A196,Clients!$B$3:$J$500,4))</f>
        <v>Mr et Mme RENOUD  Jean François</v>
      </c>
      <c r="C196" s="36" t="s">
        <v>1332</v>
      </c>
      <c r="D196" s="340">
        <v>42153</v>
      </c>
      <c r="E196" s="339">
        <v>322.54000000000002</v>
      </c>
      <c r="F196" s="33">
        <f t="shared" si="15"/>
        <v>42183</v>
      </c>
      <c r="G196" s="34">
        <f t="shared" si="16"/>
        <v>67</v>
      </c>
      <c r="H196" s="340" t="str">
        <f t="shared" si="17"/>
        <v>oui</v>
      </c>
      <c r="I196" s="33">
        <v>42220</v>
      </c>
      <c r="J196" s="37" t="str">
        <f>IF($L196="","",CONCATENATE(VLOOKUP(A196,Clients!B$3:K$702,9)))</f>
        <v/>
      </c>
      <c r="K196" s="317"/>
    </row>
    <row r="197" spans="1:14" ht="12.75" customHeight="1">
      <c r="A197" s="174">
        <v>485</v>
      </c>
      <c r="B197" s="329" t="str">
        <f>CONCATENATE(VLOOKUP(A197,Clients!$B$3:$J$500,2),VLOOKUP(A197,Clients!$B$3:$J$500,3)," ",VLOOKUP(A197,Clients!$B$3:$J$500,4))</f>
        <v>Mr MOUNIER  MICHEL</v>
      </c>
      <c r="C197" s="36" t="s">
        <v>1334</v>
      </c>
      <c r="D197" s="340">
        <v>42153</v>
      </c>
      <c r="E197" s="339">
        <v>873.72</v>
      </c>
      <c r="F197" s="33">
        <f t="shared" si="15"/>
        <v>42183</v>
      </c>
      <c r="G197" s="34">
        <f t="shared" si="16"/>
        <v>47</v>
      </c>
      <c r="H197" s="340" t="str">
        <f t="shared" si="17"/>
        <v>oui</v>
      </c>
      <c r="I197" s="33">
        <v>42200</v>
      </c>
      <c r="J197" s="37" t="str">
        <f>IF($L197="","",CONCATENATE(VLOOKUP(A197,Clients!B$3:K$702,9)))</f>
        <v/>
      </c>
      <c r="K197" s="317"/>
    </row>
    <row r="198" spans="1:14" ht="12.75" customHeight="1">
      <c r="A198" s="174">
        <v>485</v>
      </c>
      <c r="B198" s="329" t="str">
        <f>CONCATENATE(VLOOKUP(A198,Clients!$B$3:$J$500,2),VLOOKUP(A198,Clients!$B$3:$J$500,3)," ",VLOOKUP(A198,Clients!$B$3:$J$500,4))</f>
        <v>Mr MOUNIER  MICHEL</v>
      </c>
      <c r="C198" s="36" t="s">
        <v>1335</v>
      </c>
      <c r="D198" s="340">
        <v>42153</v>
      </c>
      <c r="E198" s="339">
        <v>873.72</v>
      </c>
      <c r="F198" s="33">
        <f t="shared" si="15"/>
        <v>42183</v>
      </c>
      <c r="G198" s="34">
        <f t="shared" si="16"/>
        <v>47</v>
      </c>
      <c r="H198" s="340" t="str">
        <f t="shared" si="17"/>
        <v>oui</v>
      </c>
      <c r="I198" s="33">
        <v>42200</v>
      </c>
      <c r="J198" s="37" t="str">
        <f>IF($L198="","",CONCATENATE(VLOOKUP(A198,Clients!B$3:K$702,9)))</f>
        <v/>
      </c>
      <c r="K198" s="317"/>
    </row>
    <row r="199" spans="1:14" ht="12.75" customHeight="1">
      <c r="A199" s="174">
        <v>464</v>
      </c>
      <c r="B199" s="329" t="str">
        <f>CONCATENATE(VLOOKUP(A199,Clients!$B$3:$J$500,2),VLOOKUP(A199,Clients!$B$3:$J$500,3)," ",VLOOKUP(A199,Clients!$B$3:$J$500,4))</f>
        <v xml:space="preserve">Mme REMY </v>
      </c>
      <c r="C199" s="36" t="s">
        <v>1336</v>
      </c>
      <c r="D199" s="340">
        <v>42153</v>
      </c>
      <c r="E199" s="339">
        <v>5403.51</v>
      </c>
      <c r="F199" s="33">
        <f t="shared" si="15"/>
        <v>42183</v>
      </c>
      <c r="G199" s="34">
        <f t="shared" si="16"/>
        <v>4</v>
      </c>
      <c r="H199" s="340" t="str">
        <f t="shared" si="17"/>
        <v>oui</v>
      </c>
      <c r="I199" s="33">
        <v>42157</v>
      </c>
      <c r="J199" s="37" t="str">
        <f>IF($L199="","",CONCATENATE(VLOOKUP(A199,Clients!B$3:K$702,9)))</f>
        <v/>
      </c>
      <c r="K199" s="317"/>
      <c r="N199" s="344"/>
    </row>
    <row r="200" spans="1:14" ht="12.75" customHeight="1">
      <c r="A200" s="174">
        <v>454</v>
      </c>
      <c r="B200" s="329" t="str">
        <f>CONCATENATE(VLOOKUP(A200,Clients!$B$3:$J$500,2),VLOOKUP(A200,Clients!$B$3:$J$500,3)," ",VLOOKUP(A200,Clients!$B$3:$J$500,4))</f>
        <v xml:space="preserve">Mr et Mme WOOD / GRAHAME </v>
      </c>
      <c r="C200" s="36" t="s">
        <v>1337</v>
      </c>
      <c r="D200" s="340">
        <v>42153</v>
      </c>
      <c r="E200" s="339">
        <v>5791.98</v>
      </c>
      <c r="F200" s="33">
        <f t="shared" si="15"/>
        <v>42183</v>
      </c>
      <c r="G200" s="34">
        <f t="shared" si="16"/>
        <v>10</v>
      </c>
      <c r="H200" s="340" t="str">
        <f t="shared" si="17"/>
        <v>oui</v>
      </c>
      <c r="I200" s="33">
        <v>42163</v>
      </c>
      <c r="J200" s="37" t="str">
        <f>IF($L200="","",CONCATENATE(VLOOKUP(A200,Clients!B$3:K$702,9)))</f>
        <v/>
      </c>
      <c r="K200" s="317"/>
    </row>
    <row r="201" spans="1:14" ht="12.75" customHeight="1">
      <c r="A201" s="174">
        <v>445</v>
      </c>
      <c r="B201" s="329" t="str">
        <f>CONCATENATE(VLOOKUP(A201,Clients!$B$3:$J$500,2),VLOOKUP(A201,Clients!$B$3:$J$500,3)," ",VLOOKUP(A201,Clients!$B$3:$J$500,4))</f>
        <v xml:space="preserve">Mr et Mme DIZAC </v>
      </c>
      <c r="C201" s="36" t="s">
        <v>1338</v>
      </c>
      <c r="D201" s="340">
        <v>42153</v>
      </c>
      <c r="E201" s="339">
        <v>5047.42</v>
      </c>
      <c r="F201" s="33">
        <f t="shared" si="15"/>
        <v>42183</v>
      </c>
      <c r="G201" s="34">
        <f t="shared" si="16"/>
        <v>4</v>
      </c>
      <c r="H201" s="340" t="str">
        <f t="shared" si="17"/>
        <v>oui</v>
      </c>
      <c r="I201" s="33">
        <v>42157</v>
      </c>
      <c r="J201" s="37" t="str">
        <f>IF($L201="","",CONCATENATE(VLOOKUP(A201,Clients!B$3:K$702,9)))</f>
        <v/>
      </c>
      <c r="K201" s="317"/>
    </row>
    <row r="202" spans="1:14" ht="12.75" customHeight="1">
      <c r="A202" s="174">
        <v>68</v>
      </c>
      <c r="B202" s="329" t="str">
        <f>CONCATENATE(VLOOKUP(A202,Clients!$B$3:$J$500,2),VLOOKUP(A202,Clients!$B$3:$J$500,3)," ",VLOOKUP(A202,Clients!$B$3:$J$500,4))</f>
        <v xml:space="preserve">MME PALMIER </v>
      </c>
      <c r="C202" s="36" t="s">
        <v>1339</v>
      </c>
      <c r="D202" s="340">
        <v>42153</v>
      </c>
      <c r="E202" s="339">
        <v>1164.6600000000001</v>
      </c>
      <c r="F202" s="33">
        <f t="shared" si="15"/>
        <v>42183</v>
      </c>
      <c r="G202" s="34">
        <f t="shared" si="16"/>
        <v>12</v>
      </c>
      <c r="H202" s="340" t="str">
        <f t="shared" si="17"/>
        <v>oui</v>
      </c>
      <c r="I202" s="33">
        <v>42165</v>
      </c>
      <c r="J202" s="37" t="str">
        <f>IF($L202="","",CONCATENATE(VLOOKUP(A202,Clients!B$3:K$702,9)))</f>
        <v/>
      </c>
      <c r="K202" s="317"/>
    </row>
    <row r="203" spans="1:14" ht="12.75" customHeight="1">
      <c r="A203" s="174">
        <v>372</v>
      </c>
      <c r="B203" s="329" t="str">
        <f>CONCATENATE(VLOOKUP(A203,Clients!$B$3:$J$500,2),VLOOKUP(A203,Clients!$B$3:$J$500,3)," ",VLOOKUP(A203,Clients!$B$3:$J$500,4))</f>
        <v>Mr et Mme SICARD  CLAUDE</v>
      </c>
      <c r="C203" s="36" t="s">
        <v>1340</v>
      </c>
      <c r="D203" s="340">
        <v>42153</v>
      </c>
      <c r="E203" s="339">
        <v>2779.07</v>
      </c>
      <c r="F203" s="33">
        <f t="shared" si="15"/>
        <v>42183</v>
      </c>
      <c r="G203" s="34">
        <f t="shared" si="16"/>
        <v>243</v>
      </c>
      <c r="H203" s="340" t="str">
        <f t="shared" si="17"/>
        <v>oui</v>
      </c>
      <c r="I203" s="33">
        <v>42396</v>
      </c>
      <c r="J203" s="37" t="str">
        <f>IF($L203="","",CONCATENATE(VLOOKUP(A203,Clients!B$3:K$702,9)))</f>
        <v/>
      </c>
      <c r="K203" s="317"/>
    </row>
    <row r="204" spans="1:14" ht="12.75" customHeight="1">
      <c r="A204" s="174">
        <v>246</v>
      </c>
      <c r="B204" s="329" t="str">
        <f>CONCATENATE(VLOOKUP(A204,Clients!$B$3:$J$500,2),VLOOKUP(A204,Clients!$B$3:$J$500,3)," ",VLOOKUP(A204,Clients!$B$3:$J$500,4))</f>
        <v xml:space="preserve">Mr MAGNAN </v>
      </c>
      <c r="C204" s="36" t="s">
        <v>1341</v>
      </c>
      <c r="D204" s="340">
        <v>42153</v>
      </c>
      <c r="E204" s="339">
        <v>3207.96</v>
      </c>
      <c r="F204" s="33">
        <f t="shared" si="15"/>
        <v>42183</v>
      </c>
      <c r="G204" s="34">
        <f t="shared" si="16"/>
        <v>13</v>
      </c>
      <c r="H204" s="340" t="str">
        <f t="shared" si="17"/>
        <v>oui</v>
      </c>
      <c r="I204" s="33">
        <v>42166</v>
      </c>
      <c r="J204" s="37" t="str">
        <f>IF($L204="","",CONCATENATE(VLOOKUP(A204,Clients!B$3:K$702,9)))</f>
        <v/>
      </c>
      <c r="K204" s="317"/>
    </row>
    <row r="205" spans="1:14" ht="12.75" customHeight="1">
      <c r="A205" s="174">
        <v>467</v>
      </c>
      <c r="B205" s="329" t="str">
        <f>CONCATENATE(VLOOKUP(A205,Clients!$B$3:$J$500,2),VLOOKUP(A205,Clients!$B$3:$J$500,3)," ",VLOOKUP(A205,Clients!$B$3:$J$500,4))</f>
        <v xml:space="preserve">Mme BRASSEAU </v>
      </c>
      <c r="C205" s="36" t="s">
        <v>1342</v>
      </c>
      <c r="D205" s="340">
        <v>42163</v>
      </c>
      <c r="E205" s="339">
        <v>1647.09</v>
      </c>
      <c r="F205" s="33">
        <f t="shared" si="15"/>
        <v>42193</v>
      </c>
      <c r="G205" s="34">
        <f t="shared" si="16"/>
        <v>0</v>
      </c>
      <c r="H205" s="340" t="str">
        <f t="shared" si="17"/>
        <v>oui</v>
      </c>
      <c r="I205" s="33">
        <v>42163</v>
      </c>
      <c r="J205" s="37" t="str">
        <f>IF($L205="","",CONCATENATE(VLOOKUP(A205,Clients!B$3:K$702,9)))</f>
        <v/>
      </c>
      <c r="K205" s="317"/>
    </row>
    <row r="206" spans="1:14" ht="12.75" customHeight="1">
      <c r="A206" s="174">
        <v>456</v>
      </c>
      <c r="B206" s="329" t="str">
        <f>CONCATENATE(VLOOKUP(A206,Clients!$B$3:$J$500,2),VLOOKUP(A206,Clients!$B$3:$J$500,3)," ",VLOOKUP(A206,Clients!$B$3:$J$500,4))</f>
        <v>Mme ROUX ROSELYNE</v>
      </c>
      <c r="C206" s="36" t="s">
        <v>1343</v>
      </c>
      <c r="D206" s="340">
        <v>42178</v>
      </c>
      <c r="E206" s="339">
        <v>1481.28</v>
      </c>
      <c r="F206" s="33">
        <f t="shared" si="15"/>
        <v>42208</v>
      </c>
      <c r="G206" s="34">
        <f t="shared" si="16"/>
        <v>9</v>
      </c>
      <c r="H206" s="340" t="str">
        <f t="shared" si="17"/>
        <v>oui</v>
      </c>
      <c r="I206" s="33">
        <v>42187</v>
      </c>
      <c r="J206" s="37" t="str">
        <f>IF($L206="","",CONCATENATE(VLOOKUP(A206,Clients!B$3:K$702,9)))</f>
        <v/>
      </c>
      <c r="K206" s="317"/>
    </row>
    <row r="207" spans="1:14" ht="12.75" customHeight="1">
      <c r="A207" s="174">
        <v>380</v>
      </c>
      <c r="B207" s="329" t="str">
        <f>CONCATENATE(VLOOKUP(A207,Clients!$B$3:$J$500,2),VLOOKUP(A207,Clients!$B$3:$J$500,3)," ",VLOOKUP(A207,Clients!$B$3:$J$500,4))</f>
        <v>Mr ANDREW JACKSON</v>
      </c>
      <c r="C207" s="36" t="s">
        <v>1344</v>
      </c>
      <c r="D207" s="340">
        <v>42191</v>
      </c>
      <c r="E207" s="339">
        <v>4000</v>
      </c>
      <c r="F207" s="33">
        <f t="shared" si="15"/>
        <v>42221</v>
      </c>
      <c r="G207" s="34">
        <f t="shared" si="16"/>
        <v>1</v>
      </c>
      <c r="H207" s="340" t="str">
        <f t="shared" si="17"/>
        <v>oui</v>
      </c>
      <c r="I207" s="33">
        <v>42192</v>
      </c>
      <c r="J207" s="37" t="str">
        <f>IF($L207="","",CONCATENATE(VLOOKUP(A207,Clients!B$3:K$702,9)))</f>
        <v/>
      </c>
      <c r="K207" s="317"/>
    </row>
    <row r="208" spans="1:14" ht="12.75" customHeight="1">
      <c r="A208" s="174">
        <v>192</v>
      </c>
      <c r="B208" s="329" t="str">
        <f>CONCATENATE(VLOOKUP(A208,Clients!$B$3:$J$500,2),VLOOKUP(A208,Clients!$B$3:$J$500,3)," ",VLOOKUP(A208,Clients!$B$3:$J$500,4))</f>
        <v>Mr et Mme RENOUD  Jean François</v>
      </c>
      <c r="C208" s="36" t="s">
        <v>1345</v>
      </c>
      <c r="D208" s="340">
        <v>42192</v>
      </c>
      <c r="E208" s="339">
        <v>5202.93</v>
      </c>
      <c r="F208" s="33">
        <f t="shared" si="15"/>
        <v>42222</v>
      </c>
      <c r="G208" s="34">
        <f t="shared" si="16"/>
        <v>1</v>
      </c>
      <c r="H208" s="340" t="str">
        <f t="shared" si="17"/>
        <v>oui</v>
      </c>
      <c r="I208" s="33">
        <v>42193</v>
      </c>
      <c r="J208" s="37" t="str">
        <f>IF($L208="","",CONCATENATE(VLOOKUP(A208,Clients!B$3:K$702,9)))</f>
        <v/>
      </c>
      <c r="K208" s="317"/>
    </row>
    <row r="209" spans="1:11" ht="12.75" customHeight="1">
      <c r="A209" s="174">
        <v>118</v>
      </c>
      <c r="B209" s="329" t="str">
        <f>CONCATENATE(VLOOKUP(A209,Clients!$B$3:$J$500,2),VLOOKUP(A209,Clients!$B$3:$J$500,3)," ",VLOOKUP(A209,Clients!$B$3:$J$500,4))</f>
        <v xml:space="preserve">M. DEVAUD et Melle THOMAS </v>
      </c>
      <c r="C209" s="36" t="s">
        <v>1308</v>
      </c>
      <c r="D209" s="340">
        <v>42192</v>
      </c>
      <c r="E209" s="339">
        <v>458.4</v>
      </c>
      <c r="F209" s="33">
        <f t="shared" si="15"/>
        <v>42222</v>
      </c>
      <c r="G209" s="34" t="str">
        <f t="shared" si="16"/>
        <v/>
      </c>
      <c r="H209" s="340" t="str">
        <f t="shared" si="17"/>
        <v/>
      </c>
      <c r="I209" s="33"/>
      <c r="J209" s="37" t="str">
        <f>IF($L209="","",CONCATENATE(VLOOKUP(A209,Clients!B$3:K$702,9)))</f>
        <v/>
      </c>
      <c r="K209" s="317"/>
    </row>
    <row r="210" spans="1:11" ht="12.75" customHeight="1">
      <c r="A210" s="174">
        <v>486</v>
      </c>
      <c r="B210" s="329" t="str">
        <f>CONCATENATE(VLOOKUP(A210,Clients!$B$3:$J$500,2),VLOOKUP(A210,Clients!$B$3:$J$500,3)," ",VLOOKUP(A210,Clients!$B$3:$J$500,4))</f>
        <v>Mme PHIPPEN NATHALIE</v>
      </c>
      <c r="C210" s="36" t="s">
        <v>1347</v>
      </c>
      <c r="D210" s="340">
        <v>42192</v>
      </c>
      <c r="E210" s="339">
        <v>2367.13</v>
      </c>
      <c r="F210" s="33">
        <f t="shared" si="15"/>
        <v>42222</v>
      </c>
      <c r="G210" s="34">
        <f t="shared" si="16"/>
        <v>8</v>
      </c>
      <c r="H210" s="340" t="str">
        <f t="shared" si="17"/>
        <v>oui</v>
      </c>
      <c r="I210" s="33">
        <v>42200</v>
      </c>
      <c r="J210" s="37" t="str">
        <f>IF($L210="","",CONCATENATE(VLOOKUP(A210,Clients!B$3:K$702,9)))</f>
        <v/>
      </c>
      <c r="K210" s="317"/>
    </row>
    <row r="211" spans="1:11" ht="12.75" customHeight="1">
      <c r="A211" s="174">
        <v>421</v>
      </c>
      <c r="B211" s="329" t="str">
        <f>CONCATENATE(VLOOKUP(A211,Clients!$B$3:$J$500,2),VLOOKUP(A211,Clients!$B$3:$J$500,3)," ",VLOOKUP(A211,Clients!$B$3:$J$500,4))</f>
        <v>Mr  PELLIER FABIEN</v>
      </c>
      <c r="C211" s="36" t="s">
        <v>1348</v>
      </c>
      <c r="D211" s="340">
        <v>42192</v>
      </c>
      <c r="E211" s="339">
        <v>8282.4699999999993</v>
      </c>
      <c r="F211" s="33">
        <f t="shared" si="15"/>
        <v>42222</v>
      </c>
      <c r="G211" s="34">
        <f t="shared" si="16"/>
        <v>79</v>
      </c>
      <c r="H211" s="340" t="str">
        <f t="shared" si="17"/>
        <v>oui</v>
      </c>
      <c r="I211" s="33">
        <v>42271</v>
      </c>
      <c r="J211" s="37" t="str">
        <f>IF($L211="","",CONCATENATE(VLOOKUP(A211,Clients!B$3:K$702,9)))</f>
        <v/>
      </c>
      <c r="K211" s="317"/>
    </row>
    <row r="212" spans="1:11" ht="12.75" customHeight="1">
      <c r="A212" s="174">
        <v>462</v>
      </c>
      <c r="B212" s="329" t="str">
        <f>CONCATENATE(VLOOKUP(A212,Clients!$B$3:$J$500,2),VLOOKUP(A212,Clients!$B$3:$J$500,3)," ",VLOOKUP(A212,Clients!$B$3:$J$500,4))</f>
        <v>M. et Mme PLAINAUD  GERARD</v>
      </c>
      <c r="C212" s="36" t="s">
        <v>1349</v>
      </c>
      <c r="D212" s="340">
        <v>42212</v>
      </c>
      <c r="E212" s="339">
        <v>5574.56</v>
      </c>
      <c r="F212" s="33">
        <f t="shared" si="15"/>
        <v>42242</v>
      </c>
      <c r="G212" s="34">
        <f t="shared" si="16"/>
        <v>65</v>
      </c>
      <c r="H212" s="340" t="str">
        <f t="shared" si="17"/>
        <v>oui</v>
      </c>
      <c r="I212" s="33">
        <v>42277</v>
      </c>
      <c r="J212" s="37" t="str">
        <f>IF($L212="","",CONCATENATE(VLOOKUP(A212,Clients!B$3:K$702,9)))</f>
        <v/>
      </c>
      <c r="K212" s="317"/>
    </row>
    <row r="213" spans="1:11" ht="12.75" customHeight="1">
      <c r="A213" s="174">
        <v>487</v>
      </c>
      <c r="B213" s="329" t="str">
        <f>CONCATENATE(VLOOKUP(A213,Clients!$B$3:$J$500,2),VLOOKUP(A213,Clients!$B$3:$J$500,3)," ",VLOOKUP(A213,Clients!$B$3:$J$500,4))</f>
        <v>Mme BOSSAVIT CORINNE</v>
      </c>
      <c r="C213" s="36" t="s">
        <v>1351</v>
      </c>
      <c r="D213" s="340">
        <v>42212</v>
      </c>
      <c r="E213" s="339">
        <v>527.30999999999995</v>
      </c>
      <c r="F213" s="33">
        <f t="shared" si="15"/>
        <v>42242</v>
      </c>
      <c r="G213" s="34">
        <f t="shared" si="16"/>
        <v>75</v>
      </c>
      <c r="H213" s="340" t="str">
        <f t="shared" si="17"/>
        <v>oui</v>
      </c>
      <c r="I213" s="33">
        <v>42287</v>
      </c>
      <c r="J213" s="37" t="str">
        <f>IF($L213="","",CONCATENATE(VLOOKUP(A213,Clients!B$3:K$702,9)))</f>
        <v/>
      </c>
      <c r="K213" s="317"/>
    </row>
    <row r="214" spans="1:11" ht="12.75" customHeight="1">
      <c r="A214" s="174">
        <v>411</v>
      </c>
      <c r="B214" s="329" t="str">
        <f>CONCATENATE(VLOOKUP(A214,Clients!$B$3:$J$500,2),VLOOKUP(A214,Clients!$B$3:$J$500,3)," ",VLOOKUP(A214,Clients!$B$3:$J$500,4))</f>
        <v>Mr et Mme RENOUD  JEREMY</v>
      </c>
      <c r="C214" s="36" t="s">
        <v>1352</v>
      </c>
      <c r="D214" s="340">
        <v>42212</v>
      </c>
      <c r="E214" s="339">
        <v>308.89</v>
      </c>
      <c r="F214" s="33">
        <f t="shared" si="15"/>
        <v>42242</v>
      </c>
      <c r="G214" s="34">
        <f t="shared" si="16"/>
        <v>21</v>
      </c>
      <c r="H214" s="340" t="str">
        <f t="shared" si="17"/>
        <v>oui</v>
      </c>
      <c r="I214" s="33">
        <v>42233</v>
      </c>
      <c r="J214" s="37" t="str">
        <f>IF($L214="","",CONCATENATE(VLOOKUP(A214,Clients!B$3:K$702,9)))</f>
        <v/>
      </c>
      <c r="K214" s="317"/>
    </row>
    <row r="215" spans="1:11" ht="12.75" customHeight="1">
      <c r="A215" s="174">
        <v>484</v>
      </c>
      <c r="B215" s="329" t="str">
        <f>CONCATENATE(VLOOKUP(A215,Clients!$B$3:$J$500,2),VLOOKUP(A215,Clients!$B$3:$J$500,3)," ",VLOOKUP(A215,Clients!$B$3:$J$500,4))</f>
        <v>Mr JOSEPH YVES</v>
      </c>
      <c r="C215" s="36" t="s">
        <v>1353</v>
      </c>
      <c r="D215" s="340">
        <v>42212</v>
      </c>
      <c r="E215" s="339">
        <v>1334.94</v>
      </c>
      <c r="F215" s="33">
        <f t="shared" si="15"/>
        <v>42242</v>
      </c>
      <c r="G215" s="34">
        <f t="shared" si="16"/>
        <v>8</v>
      </c>
      <c r="H215" s="340" t="str">
        <f t="shared" si="17"/>
        <v>oui</v>
      </c>
      <c r="I215" s="33">
        <v>42220</v>
      </c>
      <c r="J215" s="37" t="str">
        <f>IF($L215="","",CONCATENATE(VLOOKUP(A215,Clients!B$3:K$702,9)))</f>
        <v/>
      </c>
      <c r="K215" s="317"/>
    </row>
    <row r="216" spans="1:11" ht="12.75" customHeight="1">
      <c r="A216" s="174">
        <v>488</v>
      </c>
      <c r="B216" s="329" t="str">
        <f>CONCATENATE(VLOOKUP(A216,Clients!$B$3:$J$500,2),VLOOKUP(A216,Clients!$B$3:$J$500,3)," ",VLOOKUP(A216,Clients!$B$3:$J$500,4))</f>
        <v>Mr BOIZEAU PAUL</v>
      </c>
      <c r="C216" s="36" t="s">
        <v>1365</v>
      </c>
      <c r="D216" s="340">
        <v>42212</v>
      </c>
      <c r="E216" s="339">
        <v>579.57000000000005</v>
      </c>
      <c r="F216" s="33">
        <f t="shared" si="15"/>
        <v>42242</v>
      </c>
      <c r="G216" s="34">
        <f t="shared" si="16"/>
        <v>12</v>
      </c>
      <c r="H216" s="340" t="str">
        <f t="shared" si="17"/>
        <v>oui</v>
      </c>
      <c r="I216" s="33">
        <v>42224</v>
      </c>
      <c r="J216" s="37" t="str">
        <f>IF($L216="","",CONCATENATE(VLOOKUP(A216,Clients!B$3:K$702,9)))</f>
        <v/>
      </c>
      <c r="K216" s="317"/>
    </row>
    <row r="217" spans="1:11" ht="12.75" customHeight="1">
      <c r="A217" s="174">
        <v>471</v>
      </c>
      <c r="B217" s="329" t="str">
        <f>CONCATENATE(VLOOKUP(A217,Clients!$B$3:$J$500,2),VLOOKUP(A217,Clients!$B$3:$J$500,3)," ",VLOOKUP(A217,Clients!$B$3:$J$500,4))</f>
        <v xml:space="preserve">Mr JAGUENAUD </v>
      </c>
      <c r="C217" s="36" t="s">
        <v>1366</v>
      </c>
      <c r="D217" s="340">
        <v>42221</v>
      </c>
      <c r="E217" s="339">
        <v>2514.84</v>
      </c>
      <c r="F217" s="33">
        <f t="shared" si="15"/>
        <v>42251</v>
      </c>
      <c r="G217" s="34">
        <f t="shared" si="16"/>
        <v>7</v>
      </c>
      <c r="H217" s="340" t="str">
        <f t="shared" si="17"/>
        <v>oui</v>
      </c>
      <c r="I217" s="33">
        <v>42228</v>
      </c>
      <c r="J217" s="37" t="str">
        <f>IF($L217="","",CONCATENATE(VLOOKUP(A217,Clients!B$3:K$702,9)))</f>
        <v/>
      </c>
      <c r="K217" s="317"/>
    </row>
    <row r="218" spans="1:11" ht="12.75" customHeight="1">
      <c r="A218" s="174">
        <v>192</v>
      </c>
      <c r="B218" s="329" t="str">
        <f>CONCATENATE(VLOOKUP(A218,Clients!$B$3:$J$500,2),VLOOKUP(A218,Clients!$B$3:$J$500,3)," ",VLOOKUP(A218,Clients!$B$3:$J$500,4))</f>
        <v>Mr et Mme RENOUD  Jean François</v>
      </c>
      <c r="C218" s="36" t="s">
        <v>1367</v>
      </c>
      <c r="D218" s="340">
        <v>42229</v>
      </c>
      <c r="E218" s="339">
        <v>17000</v>
      </c>
      <c r="F218" s="33">
        <f t="shared" si="15"/>
        <v>42259</v>
      </c>
      <c r="G218" s="34">
        <f t="shared" si="16"/>
        <v>1</v>
      </c>
      <c r="H218" s="340" t="str">
        <f t="shared" si="17"/>
        <v>oui</v>
      </c>
      <c r="I218" s="33">
        <v>42230</v>
      </c>
      <c r="J218" s="37" t="str">
        <f>IF($L218="","",CONCATENATE(VLOOKUP(A218,Clients!B$3:K$702,9)))</f>
        <v/>
      </c>
      <c r="K218" s="317"/>
    </row>
    <row r="219" spans="1:11" ht="12.75" customHeight="1">
      <c r="A219" s="174">
        <v>192</v>
      </c>
      <c r="B219" s="329" t="str">
        <f>CONCATENATE(VLOOKUP(A219,Clients!$B$3:$J$500,2),VLOOKUP(A219,Clients!$B$3:$J$500,3)," ",VLOOKUP(A219,Clients!$B$3:$J$500,4))</f>
        <v>Mr et Mme RENOUD  Jean François</v>
      </c>
      <c r="C219" s="36" t="s">
        <v>1367</v>
      </c>
      <c r="D219" s="340">
        <v>42229</v>
      </c>
      <c r="E219" s="339">
        <v>703.99</v>
      </c>
      <c r="F219" s="33">
        <f t="shared" si="15"/>
        <v>42259</v>
      </c>
      <c r="G219" s="34" t="str">
        <f t="shared" si="16"/>
        <v/>
      </c>
      <c r="H219" s="340" t="str">
        <f t="shared" si="17"/>
        <v/>
      </c>
      <c r="I219" s="33"/>
      <c r="J219" s="37" t="str">
        <f>IF($L219="","",CONCATENATE(VLOOKUP(A219,Clients!B$3:K$702,9)))</f>
        <v/>
      </c>
      <c r="K219" s="317"/>
    </row>
    <row r="220" spans="1:11" ht="12.75" customHeight="1">
      <c r="A220" s="174">
        <v>117</v>
      </c>
      <c r="B220" s="329" t="str">
        <f>CONCATENATE(VLOOKUP(A220,Clients!$B$3:$J$500,2),VLOOKUP(A220,Clients!$B$3:$J$500,3)," ",VLOOKUP(A220,Clients!$B$3:$J$500,4))</f>
        <v xml:space="preserve">M. et Mme GRENOT </v>
      </c>
      <c r="C220" s="36" t="s">
        <v>1368</v>
      </c>
      <c r="D220" s="340">
        <v>42257</v>
      </c>
      <c r="E220" s="339">
        <v>6413.19</v>
      </c>
      <c r="F220" s="33">
        <f t="shared" si="15"/>
        <v>42287</v>
      </c>
      <c r="G220" s="34">
        <f t="shared" si="16"/>
        <v>17</v>
      </c>
      <c r="H220" s="340" t="str">
        <f t="shared" si="17"/>
        <v>oui</v>
      </c>
      <c r="I220" s="33">
        <v>42274</v>
      </c>
      <c r="J220" s="37" t="str">
        <f>IF($L220="","",CONCATENATE(VLOOKUP(A220,Clients!B$3:K$702,9)))</f>
        <v/>
      </c>
      <c r="K220" s="317"/>
    </row>
    <row r="221" spans="1:11" ht="12.75" customHeight="1">
      <c r="A221" s="174">
        <v>462</v>
      </c>
      <c r="B221" s="329" t="str">
        <f>CONCATENATE(VLOOKUP(A221,Clients!$B$3:$J$500,2),VLOOKUP(A221,Clients!$B$3:$J$500,3)," ",VLOOKUP(A221,Clients!$B$3:$J$500,4))</f>
        <v>M. et Mme PLAINAUD  GERARD</v>
      </c>
      <c r="C221" s="36" t="s">
        <v>1369</v>
      </c>
      <c r="D221" s="340">
        <v>42257</v>
      </c>
      <c r="E221" s="339">
        <v>8153.87</v>
      </c>
      <c r="F221" s="33">
        <f t="shared" si="15"/>
        <v>42287</v>
      </c>
      <c r="G221" s="34">
        <f t="shared" si="16"/>
        <v>30</v>
      </c>
      <c r="H221" s="340" t="str">
        <f t="shared" si="17"/>
        <v>oui</v>
      </c>
      <c r="I221" s="33">
        <v>42287</v>
      </c>
      <c r="J221" s="37" t="str">
        <f>IF($L221="","",CONCATENATE(VLOOKUP(A221,Clients!B$3:K$702,9)))</f>
        <v/>
      </c>
      <c r="K221" s="317"/>
    </row>
    <row r="222" spans="1:11" ht="12.75" customHeight="1">
      <c r="A222" s="174">
        <v>489</v>
      </c>
      <c r="B222" s="329" t="str">
        <f>CONCATENATE(VLOOKUP(A222,Clients!$B$3:$J$500,2),VLOOKUP(A222,Clients!$B$3:$J$500,3)," ",VLOOKUP(A222,Clients!$B$3:$J$500,4))</f>
        <v>Mme BERNARD ANDREE</v>
      </c>
      <c r="C222" s="36" t="s">
        <v>1372</v>
      </c>
      <c r="D222" s="340">
        <v>42263</v>
      </c>
      <c r="E222" s="339">
        <v>1000</v>
      </c>
      <c r="F222" s="33">
        <f t="shared" si="15"/>
        <v>42293</v>
      </c>
      <c r="G222" s="34">
        <f t="shared" si="16"/>
        <v>-82</v>
      </c>
      <c r="H222" s="340" t="str">
        <f t="shared" si="17"/>
        <v>oui</v>
      </c>
      <c r="I222" s="33">
        <v>42181</v>
      </c>
      <c r="J222" s="37" t="str">
        <f>IF($L222="","",CONCATENATE(VLOOKUP(A222,Clients!B$3:K$702,9)))</f>
        <v/>
      </c>
      <c r="K222" s="317"/>
    </row>
    <row r="223" spans="1:11" ht="12.75" customHeight="1">
      <c r="A223" s="174">
        <v>489</v>
      </c>
      <c r="B223" s="329" t="str">
        <f>CONCATENATE(VLOOKUP(A223,Clients!$B$3:$J$500,2),VLOOKUP(A223,Clients!$B$3:$J$500,3)," ",VLOOKUP(A223,Clients!$B$3:$J$500,4))</f>
        <v>Mme BERNARD ANDREE</v>
      </c>
      <c r="C223" s="36" t="s">
        <v>1373</v>
      </c>
      <c r="D223" s="340">
        <v>42263</v>
      </c>
      <c r="E223" s="339">
        <v>1200</v>
      </c>
      <c r="F223" s="33">
        <f t="shared" si="15"/>
        <v>42293</v>
      </c>
      <c r="G223" s="34">
        <f t="shared" si="16"/>
        <v>80</v>
      </c>
      <c r="H223" s="340" t="str">
        <f t="shared" si="17"/>
        <v>oui</v>
      </c>
      <c r="I223" s="33">
        <v>42343</v>
      </c>
      <c r="J223" s="37" t="str">
        <f>IF($L223="","",CONCATENATE(VLOOKUP(A223,Clients!B$3:K$702,9)))</f>
        <v/>
      </c>
      <c r="K223" s="317"/>
    </row>
    <row r="224" spans="1:11" ht="12.75" customHeight="1">
      <c r="A224" s="174">
        <v>489</v>
      </c>
      <c r="B224" s="329" t="str">
        <f>CONCATENATE(VLOOKUP(A224,Clients!$B$3:$J$500,2),VLOOKUP(A224,Clients!$B$3:$J$500,3)," ",VLOOKUP(A224,Clients!$B$3:$J$500,4))</f>
        <v>Mme BERNARD ANDREE</v>
      </c>
      <c r="C224" s="36" t="s">
        <v>1373</v>
      </c>
      <c r="D224" s="340">
        <v>42263</v>
      </c>
      <c r="E224" s="339">
        <v>1163.3399999999999</v>
      </c>
      <c r="F224" s="33">
        <f t="shared" si="15"/>
        <v>42293</v>
      </c>
      <c r="G224" s="34" t="str">
        <f t="shared" si="16"/>
        <v/>
      </c>
      <c r="H224" s="340" t="str">
        <f t="shared" si="17"/>
        <v/>
      </c>
      <c r="I224" s="33"/>
      <c r="J224" s="37" t="str">
        <f>IF($L224="","",CONCATENATE(VLOOKUP(A224,Clients!B$3:K$702,9)))</f>
        <v/>
      </c>
      <c r="K224" s="317"/>
    </row>
    <row r="225" spans="1:11" ht="12.75" customHeight="1">
      <c r="A225" s="174">
        <v>355</v>
      </c>
      <c r="B225" s="329" t="str">
        <f>CONCATENATE(VLOOKUP(A225,Clients!$B$3:$J$500,2),VLOOKUP(A225,Clients!$B$3:$J$500,3)," ",VLOOKUP(A225,Clients!$B$3:$J$500,4))</f>
        <v>Mr SICAUD SEBASTIEN</v>
      </c>
      <c r="C225" s="36" t="s">
        <v>1374</v>
      </c>
      <c r="D225" s="340">
        <v>42263</v>
      </c>
      <c r="E225" s="339">
        <v>4000</v>
      </c>
      <c r="F225" s="33">
        <f t="shared" si="15"/>
        <v>42293</v>
      </c>
      <c r="G225" s="34">
        <f t="shared" si="16"/>
        <v>-24</v>
      </c>
      <c r="H225" s="340" t="str">
        <f t="shared" si="17"/>
        <v>oui</v>
      </c>
      <c r="I225" s="33">
        <v>42239</v>
      </c>
      <c r="J225" s="37" t="str">
        <f>IF($L225="","",CONCATENATE(VLOOKUP(A225,Clients!B$3:K$702,9)))</f>
        <v/>
      </c>
      <c r="K225" s="317"/>
    </row>
    <row r="226" spans="1:11" ht="12.75" customHeight="1">
      <c r="A226" s="174">
        <v>61</v>
      </c>
      <c r="B226" s="329" t="str">
        <f>CONCATENATE(VLOOKUP(A226,Clients!$B$3:$J$500,2),VLOOKUP(A226,Clients!$B$3:$J$500,3)," ",VLOOKUP(A226,Clients!$B$3:$J$500,4))</f>
        <v>ETS BARITEAU DAVID</v>
      </c>
      <c r="C226" s="36" t="s">
        <v>1375</v>
      </c>
      <c r="D226" s="340">
        <v>42265</v>
      </c>
      <c r="E226" s="339">
        <v>541.57000000000005</v>
      </c>
      <c r="F226" s="33">
        <f t="shared" si="15"/>
        <v>42295</v>
      </c>
      <c r="G226" s="34">
        <f t="shared" si="16"/>
        <v>6</v>
      </c>
      <c r="H226" s="340" t="str">
        <f t="shared" si="17"/>
        <v>oui</v>
      </c>
      <c r="I226" s="33">
        <v>42271</v>
      </c>
      <c r="J226" s="37" t="str">
        <f>IF($L226="","",CONCATENATE(VLOOKUP(A226,Clients!B$3:K$702,9)))</f>
        <v/>
      </c>
      <c r="K226" s="317"/>
    </row>
    <row r="227" spans="1:11" ht="12.75" customHeight="1">
      <c r="A227" s="174">
        <v>330</v>
      </c>
      <c r="B227" s="329" t="str">
        <f>CONCATENATE(VLOOKUP(A227,Clients!$B$3:$J$500,2),VLOOKUP(A227,Clients!$B$3:$J$500,3)," ",VLOOKUP(A227,Clients!$B$3:$J$500,4))</f>
        <v>Mme ALIGANT  SYLVIE</v>
      </c>
      <c r="C227" s="36" t="s">
        <v>1376</v>
      </c>
      <c r="D227" s="340">
        <v>42265</v>
      </c>
      <c r="E227" s="339">
        <v>648.89</v>
      </c>
      <c r="F227" s="33">
        <f t="shared" si="15"/>
        <v>42295</v>
      </c>
      <c r="G227" s="34">
        <f t="shared" si="16"/>
        <v>57</v>
      </c>
      <c r="H227" s="340" t="str">
        <f t="shared" si="17"/>
        <v>oui</v>
      </c>
      <c r="I227" s="33">
        <v>42322</v>
      </c>
      <c r="J227" s="37" t="str">
        <f>IF($L227="","",CONCATENATE(VLOOKUP(A227,Clients!B$3:K$702,9)))</f>
        <v/>
      </c>
      <c r="K227" s="317"/>
    </row>
    <row r="228" spans="1:11" ht="12.75" customHeight="1">
      <c r="A228" s="174">
        <v>287</v>
      </c>
      <c r="B228" s="329" t="str">
        <f>CONCATENATE(VLOOKUP(A228,Clients!$B$3:$J$500,2),VLOOKUP(A228,Clients!$B$3:$J$500,3)," ",VLOOKUP(A228,Clients!$B$3:$J$500,4))</f>
        <v xml:space="preserve">JC AUTO- MOTO ECOLE </v>
      </c>
      <c r="C228" s="36" t="s">
        <v>1377</v>
      </c>
      <c r="D228" s="340">
        <v>42265</v>
      </c>
      <c r="E228" s="339">
        <v>583.75</v>
      </c>
      <c r="F228" s="33">
        <f t="shared" si="15"/>
        <v>42295</v>
      </c>
      <c r="G228" s="34" t="str">
        <f t="shared" si="16"/>
        <v/>
      </c>
      <c r="H228" s="340" t="str">
        <f t="shared" si="17"/>
        <v/>
      </c>
      <c r="I228" s="33"/>
      <c r="J228" s="37" t="str">
        <f>IF($L228="","",CONCATENATE(VLOOKUP(A228,Clients!B$3:K$702,9)))</f>
        <v/>
      </c>
      <c r="K228" s="317"/>
    </row>
    <row r="229" spans="1:11" ht="12.75" customHeight="1">
      <c r="A229" s="174">
        <v>348</v>
      </c>
      <c r="B229" s="329" t="str">
        <f>CONCATENATE(VLOOKUP(A229,Clients!$B$3:$J$500,2),VLOOKUP(A229,Clients!$B$3:$J$500,3)," ",VLOOKUP(A229,Clients!$B$3:$J$500,4))</f>
        <v xml:space="preserve">TOITS DE SAINTONGE </v>
      </c>
      <c r="C229" s="36" t="s">
        <v>1378</v>
      </c>
      <c r="D229" s="340">
        <v>42265</v>
      </c>
      <c r="E229" s="339">
        <v>194.34</v>
      </c>
      <c r="F229" s="33">
        <f t="shared" si="15"/>
        <v>42295</v>
      </c>
      <c r="G229" s="34">
        <f t="shared" si="16"/>
        <v>63</v>
      </c>
      <c r="H229" s="340" t="str">
        <f t="shared" si="17"/>
        <v>oui</v>
      </c>
      <c r="I229" s="33">
        <v>42328</v>
      </c>
      <c r="J229" s="37" t="str">
        <f>IF($L229="","",CONCATENATE(VLOOKUP(A229,Clients!B$3:K$702,9)))</f>
        <v/>
      </c>
      <c r="K229" s="317"/>
    </row>
    <row r="230" spans="1:11" ht="12.75" customHeight="1">
      <c r="A230" s="174">
        <v>307</v>
      </c>
      <c r="B230" s="329" t="str">
        <f>CONCATENATE(VLOOKUP(A230,Clients!$B$3:$J$500,2),VLOOKUP(A230,Clients!$B$3:$J$500,3)," ",VLOOKUP(A230,Clients!$B$3:$J$500,4))</f>
        <v xml:space="preserve">TECHNIGAINE </v>
      </c>
      <c r="C230" s="36" t="s">
        <v>1379</v>
      </c>
      <c r="D230" s="340">
        <v>42265</v>
      </c>
      <c r="E230" s="339">
        <v>477.15</v>
      </c>
      <c r="F230" s="33">
        <f t="shared" si="15"/>
        <v>42295</v>
      </c>
      <c r="G230" s="34">
        <f t="shared" si="16"/>
        <v>95</v>
      </c>
      <c r="H230" s="340" t="str">
        <f t="shared" si="17"/>
        <v>oui</v>
      </c>
      <c r="I230" s="33">
        <v>42360</v>
      </c>
      <c r="J230" s="37" t="str">
        <f>IF($L230="","",CONCATENATE(VLOOKUP(A230,Clients!B$3:K$702,9)))</f>
        <v/>
      </c>
      <c r="K230" s="317"/>
    </row>
    <row r="231" spans="1:11" ht="12.75" customHeight="1">
      <c r="A231" s="174">
        <v>356</v>
      </c>
      <c r="B231" s="329" t="str">
        <f>CONCATENATE(VLOOKUP(A231,Clients!$B$3:$J$500,2),VLOOKUP(A231,Clients!$B$3:$J$500,3)," ",VLOOKUP(A231,Clients!$B$3:$J$500,4))</f>
        <v xml:space="preserve">M DURANCEAU </v>
      </c>
      <c r="C231" s="36" t="s">
        <v>1380</v>
      </c>
      <c r="D231" s="340">
        <v>42265</v>
      </c>
      <c r="E231" s="339">
        <v>226.06</v>
      </c>
      <c r="F231" s="33">
        <f t="shared" si="15"/>
        <v>42295</v>
      </c>
      <c r="G231" s="34">
        <f t="shared" si="16"/>
        <v>95</v>
      </c>
      <c r="H231" s="340" t="str">
        <f t="shared" si="17"/>
        <v>oui</v>
      </c>
      <c r="I231" s="33">
        <v>42360</v>
      </c>
      <c r="J231" s="37" t="str">
        <f>IF($L231="","",CONCATENATE(VLOOKUP(A231,Clients!B$3:K$702,9)))</f>
        <v/>
      </c>
      <c r="K231" s="317"/>
    </row>
    <row r="232" spans="1:11" ht="12.75" customHeight="1">
      <c r="A232" s="174">
        <v>469</v>
      </c>
      <c r="B232" s="329" t="str">
        <f>CONCATENATE(VLOOKUP(A232,Clients!$B$3:$J$500,2),VLOOKUP(A232,Clients!$B$3:$J$500,3)," ",VLOOKUP(A232,Clients!$B$3:$J$500,4))</f>
        <v xml:space="preserve">BLEU ACIER </v>
      </c>
      <c r="C232" s="36" t="s">
        <v>1381</v>
      </c>
      <c r="D232" s="340">
        <v>42265</v>
      </c>
      <c r="E232" s="339">
        <v>121.93</v>
      </c>
      <c r="F232" s="33">
        <f t="shared" si="15"/>
        <v>42295</v>
      </c>
      <c r="G232" s="34">
        <f t="shared" si="16"/>
        <v>13</v>
      </c>
      <c r="H232" s="340" t="str">
        <f t="shared" si="17"/>
        <v>oui</v>
      </c>
      <c r="I232" s="33">
        <v>42278</v>
      </c>
      <c r="J232" s="37" t="str">
        <f>IF($L232="","",CONCATENATE(VLOOKUP(A232,Clients!B$3:K$702,9)))</f>
        <v/>
      </c>
      <c r="K232" s="317"/>
    </row>
    <row r="233" spans="1:11" ht="12.75" customHeight="1">
      <c r="A233" s="174">
        <v>474</v>
      </c>
      <c r="B233" s="329" t="str">
        <f>CONCATENATE(VLOOKUP(A233,Clients!$B$3:$J$500,2),VLOOKUP(A233,Clients!$B$3:$J$500,3)," ",VLOOKUP(A233,Clients!$B$3:$J$500,4))</f>
        <v>Mr DAGAND DIDIER</v>
      </c>
      <c r="C233" s="36" t="s">
        <v>1382</v>
      </c>
      <c r="D233" s="340">
        <v>42265</v>
      </c>
      <c r="E233" s="339">
        <v>758.49</v>
      </c>
      <c r="F233" s="33">
        <f t="shared" si="15"/>
        <v>42295</v>
      </c>
      <c r="G233" s="34">
        <f t="shared" si="16"/>
        <v>75</v>
      </c>
      <c r="H233" s="340" t="str">
        <f t="shared" si="17"/>
        <v>oui</v>
      </c>
      <c r="I233" s="33">
        <v>42340</v>
      </c>
      <c r="J233" s="37" t="str">
        <f>IF($L233="","",CONCATENATE(VLOOKUP(A233,Clients!B$3:K$702,9)))</f>
        <v/>
      </c>
      <c r="K233" s="317"/>
    </row>
    <row r="234" spans="1:11" ht="12.75" customHeight="1">
      <c r="A234" s="174">
        <v>123</v>
      </c>
      <c r="B234" s="329" t="str">
        <f>CONCATENATE(VLOOKUP(A234,Clients!$B$3:$J$500,2),VLOOKUP(A234,Clients!$B$3:$J$500,3)," ",VLOOKUP(A234,Clients!$B$3:$J$500,4))</f>
        <v>MR THOMAS JACQUES</v>
      </c>
      <c r="C234" s="36" t="s">
        <v>1383</v>
      </c>
      <c r="D234" s="340">
        <v>42267</v>
      </c>
      <c r="E234" s="339">
        <v>205.7</v>
      </c>
      <c r="F234" s="33">
        <f t="shared" si="15"/>
        <v>42297</v>
      </c>
      <c r="G234" s="34" t="str">
        <f t="shared" si="16"/>
        <v/>
      </c>
      <c r="H234" s="340" t="str">
        <f t="shared" si="17"/>
        <v/>
      </c>
      <c r="I234" s="33"/>
      <c r="J234" s="37" t="str">
        <f>IF($L234="","",CONCATENATE(VLOOKUP(A234,Clients!B$3:K$702,9)))</f>
        <v/>
      </c>
      <c r="K234" s="317"/>
    </row>
    <row r="235" spans="1:11" ht="12.75" customHeight="1">
      <c r="A235" s="174">
        <v>490</v>
      </c>
      <c r="B235" s="329" t="str">
        <f>CONCATENATE(VLOOKUP(A235,Clients!$B$3:$J$500,2),VLOOKUP(A235,Clients!$B$3:$J$500,3)," ",VLOOKUP(A235,Clients!$B$3:$J$500,4))</f>
        <v>Mr LACOSTE ERICK</v>
      </c>
      <c r="C235" s="36" t="s">
        <v>1387</v>
      </c>
      <c r="D235" s="340">
        <v>42267</v>
      </c>
      <c r="E235" s="339">
        <v>2419.63</v>
      </c>
      <c r="F235" s="33">
        <f t="shared" si="15"/>
        <v>42297</v>
      </c>
      <c r="G235" s="34" t="str">
        <f t="shared" si="16"/>
        <v/>
      </c>
      <c r="H235" s="340" t="str">
        <f t="shared" si="17"/>
        <v/>
      </c>
      <c r="I235" s="33"/>
      <c r="J235" s="37" t="str">
        <f>IF($L235="","",CONCATENATE(VLOOKUP(A235,Clients!B$3:K$702,9)))</f>
        <v/>
      </c>
      <c r="K235" s="317"/>
    </row>
    <row r="236" spans="1:11" ht="12.75" customHeight="1">
      <c r="A236" s="174">
        <v>401</v>
      </c>
      <c r="B236" s="329" t="str">
        <f>CONCATENATE(VLOOKUP(A236,Clients!$B$3:$J$500,2),VLOOKUP(A236,Clients!$B$3:$J$500,3)," ",VLOOKUP(A236,Clients!$B$3:$J$500,4))</f>
        <v>Mme BORDIER DANIELLE</v>
      </c>
      <c r="C236" s="36" t="s">
        <v>1388</v>
      </c>
      <c r="D236" s="340">
        <v>42275</v>
      </c>
      <c r="E236" s="339">
        <v>-88</v>
      </c>
      <c r="F236" s="33">
        <f t="shared" si="15"/>
        <v>42305</v>
      </c>
      <c r="G236" s="34">
        <f t="shared" si="16"/>
        <v>0</v>
      </c>
      <c r="H236" s="340" t="str">
        <f t="shared" si="17"/>
        <v>oui</v>
      </c>
      <c r="I236" s="33">
        <v>42275</v>
      </c>
      <c r="J236" s="37" t="str">
        <f>IF($L236="","",CONCATENATE(VLOOKUP(A236,Clients!B$3:K$702,9)))</f>
        <v/>
      </c>
      <c r="K236" s="317"/>
    </row>
    <row r="237" spans="1:11" ht="12.75" customHeight="1">
      <c r="A237" s="174">
        <v>464</v>
      </c>
      <c r="B237" s="329" t="str">
        <f>CONCATENATE(VLOOKUP(A237,Clients!$B$3:$J$500,2),VLOOKUP(A237,Clients!$B$3:$J$500,3)," ",VLOOKUP(A237,Clients!$B$3:$J$500,4))</f>
        <v xml:space="preserve">Mme REMY </v>
      </c>
      <c r="C237" s="36" t="s">
        <v>1389</v>
      </c>
      <c r="D237" s="340">
        <v>42308</v>
      </c>
      <c r="E237" s="339">
        <v>11560.8</v>
      </c>
      <c r="F237" s="33">
        <f t="shared" si="15"/>
        <v>42338</v>
      </c>
      <c r="G237" s="34">
        <f t="shared" si="16"/>
        <v>18</v>
      </c>
      <c r="H237" s="340" t="str">
        <f t="shared" si="17"/>
        <v>oui</v>
      </c>
      <c r="I237" s="33">
        <v>42326</v>
      </c>
      <c r="J237" s="37" t="str">
        <f>IF($L237="","",CONCATENATE(VLOOKUP(A237,Clients!B$3:K$702,9)))</f>
        <v/>
      </c>
      <c r="K237" s="317"/>
    </row>
    <row r="238" spans="1:11" ht="12.75" customHeight="1">
      <c r="A238" s="174">
        <v>465</v>
      </c>
      <c r="B238" s="329" t="str">
        <f>CONCATENATE(VLOOKUP(A238,Clients!$B$3:$J$500,2),VLOOKUP(A238,Clients!$B$3:$J$500,3)," ",VLOOKUP(A238,Clients!$B$3:$J$500,4))</f>
        <v xml:space="preserve">Mr et Mme FIEVEZ </v>
      </c>
      <c r="C238" s="36" t="s">
        <v>1390</v>
      </c>
      <c r="D238" s="340">
        <v>42308</v>
      </c>
      <c r="E238" s="339">
        <v>1349.19</v>
      </c>
      <c r="F238" s="33">
        <f t="shared" si="15"/>
        <v>42338</v>
      </c>
      <c r="G238" s="34">
        <f t="shared" si="16"/>
        <v>96</v>
      </c>
      <c r="H238" s="340" t="str">
        <f t="shared" si="17"/>
        <v>oui</v>
      </c>
      <c r="I238" s="33">
        <v>42404</v>
      </c>
      <c r="J238" s="37" t="str">
        <f>IF($L238="","",CONCATENATE(VLOOKUP(A238,Clients!B$3:K$702,9)))</f>
        <v/>
      </c>
      <c r="K238" s="317"/>
    </row>
    <row r="239" spans="1:11" ht="12.75" customHeight="1">
      <c r="A239" s="174">
        <v>465</v>
      </c>
      <c r="B239" s="329" t="str">
        <f>CONCATENATE(VLOOKUP(A239,Clients!$B$3:$J$500,2),VLOOKUP(A239,Clients!$B$3:$J$500,3)," ",VLOOKUP(A239,Clients!$B$3:$J$500,4))</f>
        <v xml:space="preserve">Mr et Mme FIEVEZ </v>
      </c>
      <c r="C239" s="36" t="s">
        <v>1391</v>
      </c>
      <c r="D239" s="340">
        <v>42308</v>
      </c>
      <c r="E239" s="339">
        <v>138.4</v>
      </c>
      <c r="F239" s="33">
        <f t="shared" si="15"/>
        <v>42338</v>
      </c>
      <c r="G239" s="34">
        <f t="shared" si="16"/>
        <v>96</v>
      </c>
      <c r="H239" s="340" t="str">
        <f t="shared" si="17"/>
        <v>oui</v>
      </c>
      <c r="I239" s="33">
        <v>42404</v>
      </c>
      <c r="J239" s="37" t="str">
        <f>IF($L239="","",CONCATENATE(VLOOKUP(A239,Clients!B$3:K$702,9)))</f>
        <v/>
      </c>
      <c r="K239" s="317"/>
    </row>
    <row r="240" spans="1:11" ht="12.75" customHeight="1">
      <c r="A240" s="174">
        <v>442</v>
      </c>
      <c r="B240" s="329" t="str">
        <f>CONCATENATE(VLOOKUP(A240,Clients!$B$3:$J$500,2),VLOOKUP(A240,Clients!$B$3:$J$500,3)," ",VLOOKUP(A240,Clients!$B$3:$J$500,4))</f>
        <v>Mme CHATELAIN MARLENE</v>
      </c>
      <c r="C240" s="36" t="s">
        <v>1392</v>
      </c>
      <c r="D240" s="340">
        <v>42308</v>
      </c>
      <c r="E240" s="339">
        <v>1513.97</v>
      </c>
      <c r="F240" s="33">
        <f t="shared" si="15"/>
        <v>42338</v>
      </c>
      <c r="G240" s="34">
        <f t="shared" si="16"/>
        <v>194</v>
      </c>
      <c r="H240" s="340" t="str">
        <f t="shared" si="17"/>
        <v>oui</v>
      </c>
      <c r="I240" s="33">
        <v>42502</v>
      </c>
      <c r="J240" s="37" t="str">
        <f>IF($L240="","",CONCATENATE(VLOOKUP(A240,Clients!B$3:K$702,9)))</f>
        <v/>
      </c>
      <c r="K240" s="317"/>
    </row>
    <row r="241" spans="1:11" ht="12.75" customHeight="1">
      <c r="A241" s="174">
        <v>20</v>
      </c>
      <c r="B241" s="329" t="str">
        <f>CONCATENATE(VLOOKUP(A241,Clients!$B$3:$J$500,2),VLOOKUP(A241,Clients!$B$3:$J$500,3)," ",VLOOKUP(A241,Clients!$B$3:$J$500,4))</f>
        <v>GAEC DE CORINTHE</v>
      </c>
      <c r="C241" s="36" t="s">
        <v>1393</v>
      </c>
      <c r="D241" s="340">
        <v>42313</v>
      </c>
      <c r="E241" s="339">
        <v>28545.919999999998</v>
      </c>
      <c r="F241" s="33">
        <f t="shared" si="15"/>
        <v>42343</v>
      </c>
      <c r="G241" s="34">
        <f t="shared" si="16"/>
        <v>89</v>
      </c>
      <c r="H241" s="340" t="str">
        <f t="shared" si="17"/>
        <v>oui</v>
      </c>
      <c r="I241" s="33">
        <v>42402</v>
      </c>
      <c r="J241" s="37" t="str">
        <f>IF($L241="","",CONCATENATE(VLOOKUP(A241,Clients!B$3:K$702,9)))</f>
        <v/>
      </c>
      <c r="K241" s="317"/>
    </row>
    <row r="242" spans="1:11" ht="12.75" customHeight="1">
      <c r="A242" s="174">
        <v>117</v>
      </c>
      <c r="B242" s="329" t="str">
        <f>CONCATENATE(VLOOKUP(A242,Clients!$B$3:$J$500,2),VLOOKUP(A242,Clients!$B$3:$J$500,3)," ",VLOOKUP(A242,Clients!$B$3:$J$500,4))</f>
        <v xml:space="preserve">M. et Mme GRENOT </v>
      </c>
      <c r="C242" s="36" t="s">
        <v>1394</v>
      </c>
      <c r="D242" s="340">
        <v>42314</v>
      </c>
      <c r="E242" s="339">
        <v>3113.7</v>
      </c>
      <c r="F242" s="33">
        <f t="shared" si="15"/>
        <v>42344</v>
      </c>
      <c r="G242" s="34" t="str">
        <f t="shared" si="16"/>
        <v/>
      </c>
      <c r="H242" s="340" t="str">
        <f t="shared" si="17"/>
        <v/>
      </c>
      <c r="I242" s="33"/>
      <c r="J242" s="37" t="str">
        <f>IF($L242="","",CONCATENATE(VLOOKUP(A242,Clients!B$3:K$702,9)))</f>
        <v/>
      </c>
      <c r="K242" s="317"/>
    </row>
    <row r="243" spans="1:11" ht="12.75" customHeight="1">
      <c r="A243" s="174">
        <v>192</v>
      </c>
      <c r="B243" s="329" t="str">
        <f>CONCATENATE(VLOOKUP(A243,Clients!$B$3:$J$500,2),VLOOKUP(A243,Clients!$B$3:$J$500,3)," ",VLOOKUP(A243,Clients!$B$3:$J$500,4))</f>
        <v>Mr et Mme RENOUD  Jean François</v>
      </c>
      <c r="C243" s="36" t="s">
        <v>1395</v>
      </c>
      <c r="D243" s="340">
        <v>42321</v>
      </c>
      <c r="E243" s="339">
        <v>8567.8799999999992</v>
      </c>
      <c r="F243" s="33">
        <f t="shared" si="15"/>
        <v>42351</v>
      </c>
      <c r="G243" s="34">
        <f t="shared" si="16"/>
        <v>5</v>
      </c>
      <c r="H243" s="340" t="str">
        <f t="shared" si="17"/>
        <v>oui</v>
      </c>
      <c r="I243" s="33">
        <v>42326</v>
      </c>
      <c r="J243" s="37" t="str">
        <f>IF($L243="","",CONCATENATE(VLOOKUP(A243,Clients!B$3:K$702,9)))</f>
        <v/>
      </c>
      <c r="K243" s="317"/>
    </row>
    <row r="244" spans="1:11" ht="12.75" customHeight="1">
      <c r="A244" s="174">
        <v>192</v>
      </c>
      <c r="B244" s="329" t="str">
        <f>CONCATENATE(VLOOKUP(A244,Clients!$B$3:$J$500,2),VLOOKUP(A244,Clients!$B$3:$J$500,3))</f>
        <v xml:space="preserve">Mr et Mme RENOUD </v>
      </c>
      <c r="C244" s="36" t="s">
        <v>1396</v>
      </c>
      <c r="D244" s="340">
        <v>42321</v>
      </c>
      <c r="E244" s="339">
        <v>6117.8</v>
      </c>
      <c r="F244" s="33">
        <f t="shared" si="15"/>
        <v>42351</v>
      </c>
      <c r="G244" s="34">
        <f t="shared" si="16"/>
        <v>5</v>
      </c>
      <c r="H244" s="340" t="str">
        <f t="shared" si="17"/>
        <v>oui</v>
      </c>
      <c r="I244" s="33">
        <v>42326</v>
      </c>
      <c r="J244" s="37" t="str">
        <f>IF($L244="","",CONCATENATE(VLOOKUP(A244,Clients!B$3:K$702,9)))</f>
        <v/>
      </c>
      <c r="K244" s="317"/>
    </row>
    <row r="245" spans="1:11" ht="12.75" customHeight="1">
      <c r="A245" s="174">
        <v>491</v>
      </c>
      <c r="B245" s="329" t="str">
        <f>CONCATENATE(VLOOKUP(A245,Clients!$B$3:$J$500,2),VLOOKUP(A245,Clients!$B$3:$J$500,3)," ",VLOOKUP(A245,Clients!$B$3:$J$500,4))</f>
        <v xml:space="preserve">Mr LOCUSSOL </v>
      </c>
      <c r="C245" s="36" t="s">
        <v>1398</v>
      </c>
      <c r="D245" s="340">
        <v>42331</v>
      </c>
      <c r="E245" s="339">
        <v>579.57000000000005</v>
      </c>
      <c r="F245" s="33">
        <f>IF(D245="","",D245+30)</f>
        <v>42361</v>
      </c>
      <c r="G245" s="34">
        <f>IF(H245="oui",I245-D245,"")</f>
        <v>7</v>
      </c>
      <c r="H245" s="340" t="str">
        <f>IF(I245="","","oui")</f>
        <v>oui</v>
      </c>
      <c r="I245" s="33">
        <v>42338</v>
      </c>
      <c r="J245" s="37" t="str">
        <f>IF($L245="","",CONCATENATE(VLOOKUP(A245,Clients!B$3:K$702,9)))</f>
        <v/>
      </c>
      <c r="K245" s="317"/>
    </row>
    <row r="246" spans="1:11" ht="12.75" customHeight="1">
      <c r="A246" s="174">
        <v>484</v>
      </c>
      <c r="B246" s="329" t="str">
        <f>CONCATENATE(VLOOKUP(A246,Clients!$B$3:$J$500,2),VLOOKUP(A246,Clients!$B$3:$J$500,3)," ",VLOOKUP(A246,Clients!$B$3:$J$500,4))</f>
        <v>Mr JOSEPH YVES</v>
      </c>
      <c r="C246" s="36" t="s">
        <v>1399</v>
      </c>
      <c r="D246" s="340">
        <v>42331</v>
      </c>
      <c r="E246" s="339">
        <v>588.53</v>
      </c>
      <c r="F246" s="33">
        <f>IF(D246="","",D246+30)</f>
        <v>42361</v>
      </c>
      <c r="G246" s="34">
        <f>IF(H246="oui",I246-D246,"")</f>
        <v>9</v>
      </c>
      <c r="H246" s="340" t="str">
        <f>IF(I246="","","oui")</f>
        <v>oui</v>
      </c>
      <c r="I246" s="33">
        <v>42340</v>
      </c>
      <c r="J246" s="37" t="str">
        <f>IF($L246="","",CONCATENATE(VLOOKUP(A246,Clients!B$3:K$702,9)))</f>
        <v/>
      </c>
      <c r="K246" s="317"/>
    </row>
    <row r="247" spans="1:11" ht="12.75" customHeight="1">
      <c r="A247" s="174">
        <v>192</v>
      </c>
      <c r="B247" s="329" t="str">
        <f>CONCATENATE(VLOOKUP(A247,Clients!$B$3:$J$500,2),VLOOKUP(A247,Clients!$B$3:$J$500,3))</f>
        <v xml:space="preserve">Mr et Mme RENOUD </v>
      </c>
      <c r="C247" s="36" t="s">
        <v>1400</v>
      </c>
      <c r="D247" s="340">
        <v>42353</v>
      </c>
      <c r="E247" s="339">
        <v>7500</v>
      </c>
      <c r="F247" s="33">
        <f>IF(D247="","",D247+30)</f>
        <v>42383</v>
      </c>
      <c r="G247" s="34">
        <f>IF(H247="oui",I247-D247,"")</f>
        <v>3</v>
      </c>
      <c r="H247" s="340" t="str">
        <f>IF(I247="","","oui")</f>
        <v>oui</v>
      </c>
      <c r="I247" s="33">
        <v>42356</v>
      </c>
      <c r="J247" s="37" t="str">
        <f>IF($L247="","",CONCATENATE(VLOOKUP(A247,Clients!B$3:K$702,9)))</f>
        <v/>
      </c>
      <c r="K247" s="317"/>
    </row>
    <row r="248" spans="1:11" ht="12.75" customHeight="1">
      <c r="A248" s="174">
        <v>471</v>
      </c>
      <c r="B248" s="329" t="str">
        <f>CONCATENATE(VLOOKUP(A248,Clients!$B$3:$J$500,2),VLOOKUP(A248,Clients!$B$3:$J$500,3)," ",VLOOKUP(A248,Clients!$B$3:$J$500,4))</f>
        <v xml:space="preserve">Mr JAGUENAUD </v>
      </c>
      <c r="C248" s="36" t="s">
        <v>1401</v>
      </c>
      <c r="D248" s="340">
        <v>42353</v>
      </c>
      <c r="E248" s="339">
        <v>6512.87</v>
      </c>
      <c r="F248" s="33">
        <f>IF(D248="","",D248+30)</f>
        <v>42383</v>
      </c>
      <c r="G248" s="34">
        <f>IF(H248="oui",I248-D248,"")</f>
        <v>6</v>
      </c>
      <c r="H248" s="340" t="str">
        <f>IF(I248="","","oui")</f>
        <v>oui</v>
      </c>
      <c r="I248" s="33">
        <v>42359</v>
      </c>
      <c r="J248" s="37" t="str">
        <f>IF($L248="","",CONCATENATE(VLOOKUP(A248,Clients!B$3:K$702,9)))</f>
        <v/>
      </c>
      <c r="K248" s="317"/>
    </row>
    <row r="249" spans="1:11" ht="12.75" customHeight="1">
      <c r="A249" s="174">
        <v>475</v>
      </c>
      <c r="B249" s="329" t="str">
        <f>CONCATENATE(VLOOKUP(A249,Clients!$B$3:$J$500,2),VLOOKUP(A249,Clients!$B$3:$J$500,3))</f>
        <v>M. et Mme GORISSE</v>
      </c>
      <c r="C249" s="36" t="s">
        <v>1402</v>
      </c>
      <c r="D249" s="340">
        <v>42364</v>
      </c>
      <c r="E249" s="339">
        <v>345.47</v>
      </c>
      <c r="F249" s="33">
        <f>IF(D249="","",D249+30)</f>
        <v>42394</v>
      </c>
      <c r="G249" s="34">
        <f>IF(H249="oui",I249-D249,"")</f>
        <v>37</v>
      </c>
      <c r="H249" s="340" t="str">
        <f>IF(I249="","","oui")</f>
        <v>oui</v>
      </c>
      <c r="I249" s="33">
        <v>42401</v>
      </c>
      <c r="J249" s="37" t="str">
        <f>IF($L249="","",CONCATENATE(VLOOKUP(A249,Clients!B$3:K$702,9)))</f>
        <v/>
      </c>
      <c r="K249" s="317"/>
    </row>
    <row r="250" spans="1:11" ht="12.75" customHeight="1"/>
    <row r="251" spans="1:11" ht="12.75" customHeight="1"/>
    <row r="252" spans="1:11" ht="12.75" customHeight="1"/>
    <row r="253" spans="1:11" ht="12.75" customHeight="1"/>
    <row r="254" spans="1:11" ht="12.75" customHeight="1"/>
    <row r="255" spans="1:11" ht="12.75" customHeight="1"/>
    <row r="256" spans="1:11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</sheetData>
  <sheetProtection algorithmName="SHA-512" hashValue="bFF5CNjEmP1IP5VI0VgMR217bp3HBLblv2T2TQZp1TM0jjuAbhXNhrUT++iRdPmdNCcqIiVAoA6plK9JHrmNDA==" saltValue="YszlKnTXU0YCYWEZDe5aAw==" spinCount="100000" sheet="1" objects="1" scenarios="1"/>
  <mergeCells count="3">
    <mergeCell ref="A2:K2"/>
    <mergeCell ref="A95:K95"/>
    <mergeCell ref="A178:I178"/>
  </mergeCells>
  <conditionalFormatting sqref="A4:K93">
    <cfRule type="expression" dxfId="311" priority="9" stopIfTrue="1">
      <formula>AND($H4="oui",($A$4:$K$4))</formula>
    </cfRule>
  </conditionalFormatting>
  <conditionalFormatting sqref="A4:K93">
    <cfRule type="expression" dxfId="310" priority="8" stopIfTrue="1">
      <formula>AND($I4="",($A$4:$K$4))</formula>
    </cfRule>
  </conditionalFormatting>
  <conditionalFormatting sqref="A4:K93">
    <cfRule type="expression" priority="7" stopIfTrue="1">
      <formula>AND($A4="",($A$4:$K$4))</formula>
    </cfRule>
  </conditionalFormatting>
  <conditionalFormatting sqref="A97:K100 A101:I176 K101:K176 J101:J249">
    <cfRule type="expression" dxfId="309" priority="6" stopIfTrue="1">
      <formula>AND($H97="oui",($A$3:$K$3))</formula>
    </cfRule>
  </conditionalFormatting>
  <conditionalFormatting sqref="A97:K100 A101:I176 K101:K176 J101:J249">
    <cfRule type="expression" dxfId="308" priority="5" stopIfTrue="1">
      <formula>AND($I97="",($A$3:$K$3))</formula>
    </cfRule>
  </conditionalFormatting>
  <conditionalFormatting sqref="A97:K100 A101:I176 K101:K176 J101:J249">
    <cfRule type="expression" priority="4" stopIfTrue="1">
      <formula>AND($A97="",($A$3:$K$3))</formula>
    </cfRule>
  </conditionalFormatting>
  <conditionalFormatting sqref="A180:I249 K180:K249">
    <cfRule type="expression" dxfId="307" priority="3" stopIfTrue="1">
      <formula>AND($H180="oui",($A$3:$K$3))</formula>
    </cfRule>
  </conditionalFormatting>
  <conditionalFormatting sqref="A180:I249 K180:K249">
    <cfRule type="expression" dxfId="306" priority="2" stopIfTrue="1">
      <formula>AND($I180="",($A$3:$K$3))</formula>
    </cfRule>
  </conditionalFormatting>
  <conditionalFormatting sqref="A180:I249 K180:K249">
    <cfRule type="expression" priority="1" stopIfTrue="1">
      <formula>AND($A180="",($A$3:$K$3))</formula>
    </cfRule>
  </conditionalFormatting>
  <dataValidations count="15">
    <dataValidation type="date" allowBlank="1" showInputMessage="1" showErrorMessage="1" sqref="D1:D94 D177 D250:D1048576">
      <formula1>42736</formula1>
      <formula2>43100</formula2>
    </dataValidation>
    <dataValidation type="date" allowBlank="1" showInputMessage="1" showErrorMessage="1" sqref="D97:D176">
      <formula1>42370</formula1>
      <formula2>42735</formula2>
    </dataValidation>
    <dataValidation type="date" allowBlank="1" showInputMessage="1" showErrorMessage="1" sqref="D180:D249">
      <formula1>42005</formula1>
      <formula2>42369</formula2>
    </dataValidation>
    <dataValidation type="date" allowBlank="1" showInputMessage="1" showErrorMessage="1" sqref="N190:O190">
      <formula1>42339</formula1>
      <formula2>42369</formula2>
    </dataValidation>
    <dataValidation type="date" allowBlank="1" showInputMessage="1" showErrorMessage="1" sqref="N189:O189">
      <formula1>42309</formula1>
      <formula2>42338</formula2>
    </dataValidation>
    <dataValidation type="date" allowBlank="1" showInputMessage="1" showErrorMessage="1" sqref="N188:O188">
      <formula1>42278</formula1>
      <formula2>42308</formula2>
    </dataValidation>
    <dataValidation type="date" allowBlank="1" showInputMessage="1" showErrorMessage="1" sqref="N187:O187">
      <formula1>42248</formula1>
      <formula2>42277</formula2>
    </dataValidation>
    <dataValidation type="date" allowBlank="1" showInputMessage="1" showErrorMessage="1" sqref="N186:O186">
      <formula1>42217</formula1>
      <formula2>42247</formula2>
    </dataValidation>
    <dataValidation type="date" allowBlank="1" showInputMessage="1" showErrorMessage="1" sqref="N185:O185">
      <formula1>42186</formula1>
      <formula2>42216</formula2>
    </dataValidation>
    <dataValidation type="date" allowBlank="1" showInputMessage="1" showErrorMessage="1" sqref="N184:O184">
      <formula1>42156</formula1>
      <formula2>42185</formula2>
    </dataValidation>
    <dataValidation type="date" allowBlank="1" showInputMessage="1" showErrorMessage="1" sqref="N183:O183">
      <formula1>42125</formula1>
      <formula2>42155</formula2>
    </dataValidation>
    <dataValidation type="date" allowBlank="1" showInputMessage="1" showErrorMessage="1" sqref="N182:O182">
      <formula1>42095</formula1>
      <formula2>42124</formula2>
    </dataValidation>
    <dataValidation type="date" allowBlank="1" showInputMessage="1" showErrorMessage="1" sqref="N181:O181">
      <formula1>42064</formula1>
      <formula2>42094</formula2>
    </dataValidation>
    <dataValidation type="date" allowBlank="1" showInputMessage="1" showErrorMessage="1" sqref="N180:O180">
      <formula1>42036</formula1>
      <formula2>42063</formula2>
    </dataValidation>
    <dataValidation type="date" allowBlank="1" showInputMessage="1" showErrorMessage="1" sqref="N179:O179">
      <formula1>42005</formula1>
      <formula2>42035</formula2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Y469"/>
  <sheetViews>
    <sheetView tabSelected="1" zoomScaleNormal="100" workbookViewId="0">
      <selection activeCell="Y469" sqref="Y469"/>
    </sheetView>
  </sheetViews>
  <sheetFormatPr baseColWidth="10" defaultRowHeight="9.9499999999999993" customHeight="1"/>
  <cols>
    <col min="1" max="1" width="3.42578125" style="18" customWidth="1"/>
    <col min="2" max="2" width="9.7109375" style="47" customWidth="1"/>
    <col min="3" max="3" width="9.28515625" style="26" customWidth="1"/>
    <col min="4" max="4" width="4.7109375" style="27" customWidth="1"/>
    <col min="5" max="5" width="9.28515625" style="26" customWidth="1"/>
    <col min="6" max="6" width="4.7109375" style="16" customWidth="1"/>
    <col min="7" max="7" width="9.28515625" style="26" customWidth="1"/>
    <col min="8" max="8" width="4.7109375" style="16" customWidth="1"/>
    <col min="9" max="9" width="9.28515625" style="48" customWidth="1"/>
    <col min="10" max="10" width="4.7109375" style="49" customWidth="1"/>
    <col min="11" max="11" width="9.28515625" style="48" customWidth="1"/>
    <col min="12" max="12" width="4.7109375" style="49" customWidth="1"/>
    <col min="13" max="13" width="9.28515625" style="48" customWidth="1"/>
    <col min="14" max="14" width="4.7109375" style="49" customWidth="1"/>
    <col min="15" max="15" width="9.7109375" style="171" customWidth="1"/>
    <col min="16" max="16" width="9.7109375" style="18" customWidth="1"/>
    <col min="17" max="17" width="10.7109375" style="18" customWidth="1"/>
    <col min="18" max="20" width="9.7109375" style="18" customWidth="1"/>
    <col min="21" max="22" width="5.7109375" style="18" customWidth="1"/>
    <col min="23" max="23" width="13.7109375" style="18" customWidth="1"/>
    <col min="24" max="24" width="9.7109375" style="18" customWidth="1"/>
    <col min="25" max="25" width="13.5703125" style="18" customWidth="1"/>
    <col min="26" max="26" width="14.28515625" style="18" customWidth="1"/>
    <col min="27" max="30" width="12.7109375" style="18" customWidth="1"/>
    <col min="31" max="16384" width="11.42578125" style="18"/>
  </cols>
  <sheetData>
    <row r="1" spans="2:25" ht="9.9499999999999993" customHeight="1" thickBot="1"/>
    <row r="2" spans="2:25" ht="35.1" customHeight="1">
      <c r="B2" s="510">
        <v>2017</v>
      </c>
      <c r="C2" s="511"/>
      <c r="D2" s="511"/>
      <c r="E2" s="511"/>
      <c r="F2" s="511"/>
      <c r="G2" s="511"/>
      <c r="H2" s="511"/>
      <c r="I2" s="511"/>
      <c r="J2" s="511"/>
      <c r="K2" s="511"/>
      <c r="L2" s="511"/>
      <c r="M2" s="511"/>
      <c r="N2" s="512"/>
      <c r="P2" s="46" t="s">
        <v>1258</v>
      </c>
      <c r="Q2" s="29" t="s">
        <v>1259</v>
      </c>
      <c r="R2" s="29">
        <v>2017</v>
      </c>
      <c r="S2" s="29">
        <v>2016</v>
      </c>
      <c r="T2" s="29">
        <v>2015</v>
      </c>
      <c r="U2" s="480">
        <v>2014</v>
      </c>
      <c r="V2" s="480"/>
      <c r="W2" s="29">
        <v>2013</v>
      </c>
      <c r="X2" s="18">
        <v>2012</v>
      </c>
    </row>
    <row r="3" spans="2:25" ht="9.9499999999999993" customHeight="1">
      <c r="B3" s="151"/>
      <c r="C3" s="21"/>
      <c r="D3" s="20"/>
      <c r="E3" s="21"/>
      <c r="F3" s="20"/>
      <c r="G3" s="21"/>
      <c r="H3" s="20"/>
      <c r="I3" s="23"/>
      <c r="J3" s="24"/>
      <c r="K3" s="23"/>
      <c r="L3" s="24"/>
      <c r="M3" s="23"/>
      <c r="N3" s="129"/>
      <c r="O3" s="172" t="s">
        <v>828</v>
      </c>
      <c r="P3" s="14" t="s">
        <v>1299</v>
      </c>
      <c r="Q3" s="14">
        <v>45</v>
      </c>
      <c r="R3" s="165" t="e">
        <f>P3*Q3</f>
        <v>#VALUE!</v>
      </c>
      <c r="S3" s="165">
        <f>R163</f>
        <v>15277.5</v>
      </c>
      <c r="T3" s="165">
        <f>R286</f>
        <v>16567.2</v>
      </c>
      <c r="U3" s="481">
        <f>R385</f>
        <v>1946.25</v>
      </c>
      <c r="V3" s="482"/>
      <c r="W3" s="165">
        <f>R421</f>
        <v>30</v>
      </c>
      <c r="X3" s="165">
        <f>R454</f>
        <v>40</v>
      </c>
      <c r="Y3" s="166"/>
    </row>
    <row r="4" spans="2:25" ht="9.9499999999999993" customHeight="1">
      <c r="B4" s="151"/>
      <c r="C4" s="19"/>
      <c r="D4" s="20"/>
      <c r="E4" s="21"/>
      <c r="F4" s="20"/>
      <c r="G4" s="21"/>
      <c r="H4" s="22"/>
      <c r="I4" s="23"/>
      <c r="J4" s="24"/>
      <c r="K4" s="23"/>
      <c r="L4" s="24"/>
      <c r="M4" s="23"/>
      <c r="N4" s="129"/>
      <c r="O4" s="173" t="s">
        <v>1544</v>
      </c>
      <c r="P4" s="15" t="s">
        <v>1497</v>
      </c>
      <c r="Q4" s="15">
        <v>30</v>
      </c>
      <c r="R4" s="167" t="e">
        <f>P4*Q4</f>
        <v>#VALUE!</v>
      </c>
      <c r="S4" s="167">
        <f>R164</f>
        <v>3690</v>
      </c>
      <c r="T4" s="167">
        <f>R287</f>
        <v>16422.651999999998</v>
      </c>
      <c r="U4" s="483">
        <f>R386</f>
        <v>1592.5</v>
      </c>
      <c r="V4" s="484"/>
      <c r="W4" s="167">
        <f>R422</f>
        <v>885</v>
      </c>
      <c r="X4" s="167">
        <f>R455</f>
        <v>162.5</v>
      </c>
      <c r="Y4" s="166"/>
    </row>
    <row r="5" spans="2:25" ht="9.9499999999999993" customHeight="1">
      <c r="B5" s="151"/>
      <c r="C5" s="19"/>
      <c r="D5" s="20"/>
      <c r="E5" s="21"/>
      <c r="F5" s="20"/>
      <c r="G5" s="21"/>
      <c r="H5" s="22"/>
      <c r="I5" s="23"/>
      <c r="J5" s="24"/>
      <c r="K5" s="23"/>
      <c r="L5" s="24"/>
      <c r="M5" s="23"/>
      <c r="N5" s="129"/>
      <c r="P5" s="513" t="s">
        <v>1255</v>
      </c>
      <c r="Q5" s="514"/>
      <c r="R5" s="489" t="e">
        <f t="shared" ref="R5:X5" si="0">R3+R4</f>
        <v>#VALUE!</v>
      </c>
      <c r="S5" s="489">
        <f>S3+S4</f>
        <v>18967.5</v>
      </c>
      <c r="T5" s="489">
        <f t="shared" si="0"/>
        <v>32989.851999999999</v>
      </c>
      <c r="U5" s="485">
        <f>U3+U4</f>
        <v>3538.75</v>
      </c>
      <c r="V5" s="486"/>
      <c r="W5" s="489">
        <f t="shared" si="0"/>
        <v>915</v>
      </c>
      <c r="X5" s="489">
        <f t="shared" si="0"/>
        <v>202.5</v>
      </c>
    </row>
    <row r="6" spans="2:25" ht="9.9499999999999993" customHeight="1">
      <c r="B6" s="151"/>
      <c r="C6" s="19"/>
      <c r="D6" s="20"/>
      <c r="E6" s="21"/>
      <c r="F6" s="20"/>
      <c r="G6" s="21"/>
      <c r="H6" s="22"/>
      <c r="I6" s="23"/>
      <c r="J6" s="24"/>
      <c r="K6" s="23"/>
      <c r="L6" s="24"/>
      <c r="M6" s="23"/>
      <c r="N6" s="129"/>
      <c r="P6" s="515"/>
      <c r="Q6" s="516"/>
      <c r="R6" s="489"/>
      <c r="S6" s="489"/>
      <c r="T6" s="489"/>
      <c r="U6" s="487"/>
      <c r="V6" s="488"/>
      <c r="W6" s="489"/>
      <c r="X6" s="489"/>
    </row>
    <row r="7" spans="2:25" ht="9.9499999999999993" customHeight="1">
      <c r="B7" s="151"/>
      <c r="C7" s="19"/>
      <c r="D7" s="20"/>
      <c r="E7" s="21"/>
      <c r="F7" s="20"/>
      <c r="G7" s="21"/>
      <c r="H7" s="22"/>
      <c r="I7" s="23"/>
      <c r="J7" s="24"/>
      <c r="K7" s="23"/>
      <c r="L7" s="24"/>
      <c r="M7" s="23"/>
      <c r="N7" s="129"/>
      <c r="P7" s="18" t="s">
        <v>1498</v>
      </c>
      <c r="R7" s="166"/>
      <c r="S7" s="168"/>
      <c r="T7" s="168"/>
      <c r="U7" s="168"/>
      <c r="V7" s="166"/>
      <c r="W7" s="166"/>
      <c r="X7" s="166"/>
      <c r="Y7" s="166"/>
    </row>
    <row r="8" spans="2:25" ht="9.9499999999999993" customHeight="1">
      <c r="B8" s="151"/>
      <c r="C8" s="19"/>
      <c r="D8" s="20"/>
      <c r="E8" s="21"/>
      <c r="F8" s="20"/>
      <c r="G8" s="21"/>
      <c r="H8" s="22"/>
      <c r="I8" s="23"/>
      <c r="J8" s="24"/>
      <c r="K8" s="23"/>
      <c r="L8" s="24"/>
      <c r="M8" s="23"/>
      <c r="N8" s="129"/>
      <c r="P8" s="29" t="s">
        <v>1297</v>
      </c>
      <c r="R8" s="166"/>
      <c r="S8" s="166"/>
      <c r="T8" s="166"/>
      <c r="U8" s="166"/>
      <c r="V8" s="166"/>
      <c r="W8" s="166"/>
      <c r="X8" s="166"/>
      <c r="Y8" s="166"/>
    </row>
    <row r="9" spans="2:25" ht="9.9499999999999993" customHeight="1">
      <c r="B9" s="151"/>
      <c r="C9" s="19"/>
      <c r="D9" s="20"/>
      <c r="E9" s="21"/>
      <c r="F9" s="20"/>
      <c r="G9" s="21"/>
      <c r="H9" s="22"/>
      <c r="I9" s="23"/>
      <c r="J9" s="24"/>
      <c r="K9" s="23"/>
      <c r="L9" s="24"/>
      <c r="M9" s="23"/>
      <c r="N9" s="129"/>
      <c r="P9" s="18" t="s">
        <v>1250</v>
      </c>
      <c r="R9" s="166"/>
      <c r="S9" s="166"/>
      <c r="T9" s="166"/>
      <c r="U9" s="166"/>
      <c r="V9" s="166"/>
      <c r="W9" s="166"/>
      <c r="X9" s="166"/>
      <c r="Y9" s="166"/>
    </row>
    <row r="10" spans="2:25" ht="9.9499999999999993" customHeight="1">
      <c r="B10" s="151"/>
      <c r="C10" s="19"/>
      <c r="D10" s="20"/>
      <c r="E10" s="21"/>
      <c r="F10" s="20"/>
      <c r="G10" s="21"/>
      <c r="H10" s="22"/>
      <c r="I10" s="23"/>
      <c r="J10" s="24"/>
      <c r="K10" s="23"/>
      <c r="L10" s="24"/>
      <c r="M10" s="23"/>
      <c r="N10" s="129"/>
      <c r="P10" s="18" t="s">
        <v>1506</v>
      </c>
      <c r="R10" s="166"/>
      <c r="S10" s="166"/>
      <c r="T10" s="166"/>
      <c r="U10" s="166"/>
      <c r="V10" s="166"/>
      <c r="W10" s="166"/>
      <c r="X10" s="166"/>
      <c r="Y10" s="166"/>
    </row>
    <row r="11" spans="2:25" ht="9.9499999999999993" customHeight="1">
      <c r="B11" s="151"/>
      <c r="C11" s="19"/>
      <c r="D11" s="20"/>
      <c r="E11" s="21"/>
      <c r="F11" s="20"/>
      <c r="G11" s="21"/>
      <c r="H11" s="22"/>
      <c r="I11" s="23"/>
      <c r="J11" s="24"/>
      <c r="K11" s="23"/>
      <c r="L11" s="24"/>
      <c r="M11" s="23"/>
      <c r="N11" s="129"/>
      <c r="O11" s="517" t="s">
        <v>1727</v>
      </c>
      <c r="P11" s="517"/>
      <c r="Q11" s="517"/>
      <c r="R11" s="517"/>
      <c r="S11" s="517"/>
      <c r="T11" s="490" t="str">
        <f>T19</f>
        <v>volkswagen</v>
      </c>
      <c r="U11" s="490"/>
      <c r="V11" s="490"/>
      <c r="W11" s="490"/>
      <c r="X11" s="491"/>
      <c r="Y11" s="166"/>
    </row>
    <row r="12" spans="2:25" ht="9.9499999999999993" customHeight="1">
      <c r="B12" s="151"/>
      <c r="C12" s="19"/>
      <c r="D12" s="20"/>
      <c r="E12" s="21"/>
      <c r="F12" s="20"/>
      <c r="G12" s="21"/>
      <c r="H12" s="22"/>
      <c r="I12" s="23"/>
      <c r="J12" s="24"/>
      <c r="K12" s="23"/>
      <c r="L12" s="24"/>
      <c r="M12" s="23"/>
      <c r="N12" s="129"/>
      <c r="O12" s="518"/>
      <c r="P12" s="518"/>
      <c r="Q12" s="518"/>
      <c r="R12" s="518"/>
      <c r="S12" s="518"/>
      <c r="T12" s="492"/>
      <c r="U12" s="492"/>
      <c r="V12" s="492"/>
      <c r="W12" s="492"/>
      <c r="X12" s="493"/>
      <c r="Y12" s="166"/>
    </row>
    <row r="13" spans="2:25" ht="9.9499999999999993" customHeight="1">
      <c r="B13" s="151"/>
      <c r="C13" s="19"/>
      <c r="D13" s="20"/>
      <c r="E13" s="21"/>
      <c r="F13" s="20"/>
      <c r="G13" s="21"/>
      <c r="H13" s="22"/>
      <c r="I13" s="23"/>
      <c r="J13" s="24"/>
      <c r="K13" s="23"/>
      <c r="L13" s="24"/>
      <c r="M13" s="23"/>
      <c r="N13" s="129"/>
      <c r="O13" s="172" t="s">
        <v>828</v>
      </c>
      <c r="P13" s="14" t="s">
        <v>1296</v>
      </c>
      <c r="Q13" s="14">
        <f>Q3</f>
        <v>45</v>
      </c>
      <c r="R13" s="169" t="e">
        <f>Q13*P13</f>
        <v>#VALUE!</v>
      </c>
      <c r="S13" s="169">
        <f>R170</f>
        <v>2902.5</v>
      </c>
      <c r="T13" s="169">
        <f>R293</f>
        <v>0</v>
      </c>
      <c r="U13" s="481">
        <f>R394</f>
        <v>0</v>
      </c>
      <c r="V13" s="482"/>
      <c r="W13" s="165">
        <f>R431</f>
        <v>0</v>
      </c>
      <c r="X13" s="165">
        <f>R464</f>
        <v>0</v>
      </c>
      <c r="Y13" s="166"/>
    </row>
    <row r="14" spans="2:25" ht="9.9499999999999993" customHeight="1">
      <c r="B14" s="151"/>
      <c r="C14" s="19"/>
      <c r="D14" s="20"/>
      <c r="E14" s="21"/>
      <c r="F14" s="20"/>
      <c r="G14" s="21"/>
      <c r="H14" s="22"/>
      <c r="I14" s="23"/>
      <c r="J14" s="24"/>
      <c r="K14" s="23"/>
      <c r="L14" s="24"/>
      <c r="M14" s="23"/>
      <c r="N14" s="129"/>
      <c r="O14" s="173" t="s">
        <v>1544</v>
      </c>
      <c r="P14" s="17" t="s">
        <v>1282</v>
      </c>
      <c r="Q14" s="17">
        <f>Q4</f>
        <v>30</v>
      </c>
      <c r="R14" s="170" t="e">
        <f>Q14*P14</f>
        <v>#VALUE!</v>
      </c>
      <c r="S14" s="170">
        <f>R171</f>
        <v>1275</v>
      </c>
      <c r="T14" s="170">
        <f>R294</f>
        <v>0</v>
      </c>
      <c r="U14" s="483">
        <f>R395</f>
        <v>0</v>
      </c>
      <c r="V14" s="484"/>
      <c r="W14" s="167">
        <f>R432</f>
        <v>0</v>
      </c>
      <c r="X14" s="167">
        <f>R465</f>
        <v>0</v>
      </c>
      <c r="Y14" s="166"/>
    </row>
    <row r="15" spans="2:25" ht="9.9499999999999993" customHeight="1">
      <c r="B15" s="151"/>
      <c r="C15" s="19"/>
      <c r="D15" s="20"/>
      <c r="E15" s="19"/>
      <c r="F15" s="20"/>
      <c r="G15" s="19"/>
      <c r="H15" s="22"/>
      <c r="I15" s="23"/>
      <c r="J15" s="24"/>
      <c r="K15" s="23"/>
      <c r="L15" s="24"/>
      <c r="M15" s="23"/>
      <c r="N15" s="129"/>
      <c r="P15" s="513" t="s">
        <v>1521</v>
      </c>
      <c r="Q15" s="514"/>
      <c r="R15" s="494" t="e">
        <f>R13+R14</f>
        <v>#VALUE!</v>
      </c>
      <c r="S15" s="494">
        <f>S13+S14</f>
        <v>4177.5</v>
      </c>
      <c r="T15" s="494">
        <f>T13+T14</f>
        <v>0</v>
      </c>
      <c r="U15" s="485">
        <f>U13+U14</f>
        <v>0</v>
      </c>
      <c r="V15" s="486"/>
      <c r="W15" s="494">
        <f>W13+W14</f>
        <v>0</v>
      </c>
      <c r="X15" s="494">
        <f>X14+X13</f>
        <v>0</v>
      </c>
    </row>
    <row r="16" spans="2:25" ht="9.9499999999999993" customHeight="1">
      <c r="B16" s="151"/>
      <c r="C16" s="19"/>
      <c r="D16" s="20"/>
      <c r="E16" s="21"/>
      <c r="F16" s="20"/>
      <c r="G16" s="21"/>
      <c r="H16" s="22"/>
      <c r="I16" s="23"/>
      <c r="J16" s="24"/>
      <c r="K16" s="23"/>
      <c r="L16" s="24"/>
      <c r="M16" s="23"/>
      <c r="N16" s="129"/>
      <c r="P16" s="515"/>
      <c r="Q16" s="516"/>
      <c r="R16" s="495"/>
      <c r="S16" s="495"/>
      <c r="T16" s="495"/>
      <c r="U16" s="487"/>
      <c r="V16" s="488"/>
      <c r="W16" s="495"/>
      <c r="X16" s="495"/>
    </row>
    <row r="17" spans="2:23" ht="9.9499999999999993" customHeight="1">
      <c r="B17" s="151"/>
      <c r="C17" s="19"/>
      <c r="D17" s="20"/>
      <c r="E17" s="21"/>
      <c r="F17" s="20"/>
      <c r="G17" s="21"/>
      <c r="H17" s="22"/>
      <c r="I17" s="23"/>
      <c r="J17" s="24"/>
      <c r="K17" s="23"/>
      <c r="L17" s="24"/>
      <c r="M17" s="23"/>
      <c r="N17" s="129"/>
      <c r="P17" s="13" t="s">
        <v>1526</v>
      </c>
      <c r="Q17" s="13"/>
      <c r="R17" s="13"/>
      <c r="S17" s="32"/>
      <c r="T17" s="32"/>
      <c r="U17" s="32"/>
    </row>
    <row r="18" spans="2:23" ht="9.9499999999999993" customHeight="1" thickBot="1">
      <c r="B18" s="151"/>
      <c r="C18" s="19"/>
      <c r="D18" s="20"/>
      <c r="E18" s="21"/>
      <c r="F18" s="20"/>
      <c r="G18" s="21"/>
      <c r="H18" s="22"/>
      <c r="I18" s="23"/>
      <c r="J18" s="24"/>
      <c r="K18" s="23"/>
      <c r="L18" s="24"/>
      <c r="M18" s="23"/>
      <c r="N18" s="129"/>
      <c r="P18" s="13" t="s">
        <v>1542</v>
      </c>
      <c r="Q18" s="13"/>
      <c r="R18" s="13"/>
      <c r="S18" s="32"/>
      <c r="T18" s="32"/>
      <c r="U18" s="32"/>
    </row>
    <row r="19" spans="2:23" ht="9.9499999999999993" customHeight="1">
      <c r="B19" s="151"/>
      <c r="C19" s="19"/>
      <c r="D19" s="20"/>
      <c r="E19" s="21"/>
      <c r="F19" s="20"/>
      <c r="G19" s="21"/>
      <c r="H19" s="22"/>
      <c r="I19" s="23"/>
      <c r="J19" s="24"/>
      <c r="K19" s="23"/>
      <c r="L19" s="24"/>
      <c r="M19" s="23"/>
      <c r="N19" s="129"/>
      <c r="P19" s="192" t="s">
        <v>1543</v>
      </c>
      <c r="Q19" s="192"/>
      <c r="R19" s="523" t="s">
        <v>1665</v>
      </c>
      <c r="S19" s="524"/>
      <c r="T19" s="472" t="str">
        <f>fournisseurs!I1</f>
        <v>volkswagen</v>
      </c>
      <c r="U19" s="473"/>
      <c r="W19" s="612"/>
    </row>
    <row r="20" spans="2:23" ht="9.9499999999999993" customHeight="1" thickBot="1">
      <c r="B20" s="151"/>
      <c r="C20" s="19"/>
      <c r="D20" s="20"/>
      <c r="E20" s="21"/>
      <c r="F20" s="20"/>
      <c r="G20" s="21"/>
      <c r="H20" s="22"/>
      <c r="I20" s="23"/>
      <c r="J20" s="24"/>
      <c r="K20" s="23"/>
      <c r="L20" s="24"/>
      <c r="M20" s="23"/>
      <c r="N20" s="129"/>
      <c r="P20" s="192" t="s">
        <v>1554</v>
      </c>
      <c r="Q20" s="192"/>
      <c r="R20" s="525"/>
      <c r="S20" s="526"/>
      <c r="T20" s="474"/>
      <c r="U20" s="475"/>
      <c r="W20" s="613"/>
    </row>
    <row r="21" spans="2:23" ht="9.9499999999999993" customHeight="1">
      <c r="B21" s="151"/>
      <c r="C21" s="19"/>
      <c r="D21" s="20"/>
      <c r="E21" s="21"/>
      <c r="F21" s="20"/>
      <c r="G21" s="21"/>
      <c r="H21" s="22"/>
      <c r="I21" s="23"/>
      <c r="J21" s="24"/>
      <c r="K21" s="23"/>
      <c r="L21" s="24"/>
      <c r="M21" s="23"/>
      <c r="N21" s="129"/>
      <c r="P21" s="192" t="s">
        <v>1555</v>
      </c>
      <c r="Q21" s="192"/>
      <c r="R21" s="527" t="str">
        <f>fournisseurs!C9</f>
        <v>point p</v>
      </c>
      <c r="S21" s="528"/>
      <c r="T21" s="476">
        <f>SUMPRODUCT((général[clients]=fournisseurs!I1)*(général[point p]))*fournisseurs!C5</f>
        <v>95.238000000000014</v>
      </c>
      <c r="U21" s="477"/>
      <c r="W21" s="613"/>
    </row>
    <row r="22" spans="2:23" ht="9.9499999999999993" customHeight="1">
      <c r="B22" s="151"/>
      <c r="C22" s="19"/>
      <c r="D22" s="20"/>
      <c r="E22" s="21"/>
      <c r="F22" s="20"/>
      <c r="G22" s="21"/>
      <c r="H22" s="22"/>
      <c r="I22" s="23"/>
      <c r="J22" s="24"/>
      <c r="K22" s="23"/>
      <c r="L22" s="24"/>
      <c r="M22" s="23"/>
      <c r="N22" s="129"/>
      <c r="P22" s="193" t="s">
        <v>1557</v>
      </c>
      <c r="Q22" s="193"/>
      <c r="R22" s="460"/>
      <c r="S22" s="461"/>
      <c r="T22" s="478"/>
      <c r="U22" s="479"/>
      <c r="W22" s="613"/>
    </row>
    <row r="23" spans="2:23" ht="9.9499999999999993" customHeight="1">
      <c r="B23" s="151"/>
      <c r="C23" s="19"/>
      <c r="D23" s="20"/>
      <c r="E23" s="21"/>
      <c r="F23" s="20"/>
      <c r="G23" s="21"/>
      <c r="H23" s="22"/>
      <c r="I23" s="23"/>
      <c r="J23" s="24"/>
      <c r="K23" s="23"/>
      <c r="L23" s="24"/>
      <c r="M23" s="23"/>
      <c r="N23" s="129"/>
      <c r="P23" s="193" t="s">
        <v>1270</v>
      </c>
      <c r="Q23" s="193"/>
      <c r="R23" s="460" t="str">
        <f>fournisseurs!D9</f>
        <v>raoult</v>
      </c>
      <c r="S23" s="461"/>
      <c r="T23" s="456">
        <f>SUMPRODUCT((général[clients]=fournisseurs!I1)*(général[raoult]))*fournisseurs!D5</f>
        <v>12.454000000000001</v>
      </c>
      <c r="U23" s="457"/>
      <c r="W23" s="613"/>
    </row>
    <row r="24" spans="2:23" ht="9.9499999999999993" customHeight="1">
      <c r="B24" s="151"/>
      <c r="C24" s="19"/>
      <c r="D24" s="20"/>
      <c r="E24" s="21"/>
      <c r="F24" s="20"/>
      <c r="G24" s="21"/>
      <c r="H24" s="22"/>
      <c r="I24" s="23"/>
      <c r="J24" s="24"/>
      <c r="K24" s="23"/>
      <c r="L24" s="24"/>
      <c r="M24" s="23"/>
      <c r="N24" s="129"/>
      <c r="P24" s="193" t="s">
        <v>1556</v>
      </c>
      <c r="Q24" s="193"/>
      <c r="R24" s="460"/>
      <c r="S24" s="461"/>
      <c r="T24" s="458"/>
      <c r="U24" s="459"/>
      <c r="W24" s="613"/>
    </row>
    <row r="25" spans="2:23" ht="9.9499999999999993" customHeight="1">
      <c r="B25" s="151"/>
      <c r="C25" s="19"/>
      <c r="D25" s="20"/>
      <c r="E25" s="21"/>
      <c r="F25" s="20"/>
      <c r="G25" s="21"/>
      <c r="H25" s="22"/>
      <c r="I25" s="23"/>
      <c r="J25" s="24"/>
      <c r="K25" s="23"/>
      <c r="L25" s="24"/>
      <c r="M25" s="23"/>
      <c r="N25" s="129"/>
      <c r="P25" s="193" t="s">
        <v>1670</v>
      </c>
      <c r="Q25" s="193"/>
      <c r="R25" s="460" t="str">
        <f>fournisseurs!E9</f>
        <v>fenetrea</v>
      </c>
      <c r="S25" s="461"/>
      <c r="T25" s="456">
        <f>SUMPRODUCT((général[clients]=fournisseurs!I1)*(général[fenetrea]))*fournisseurs!E5</f>
        <v>0</v>
      </c>
      <c r="U25" s="457"/>
      <c r="W25" s="613"/>
    </row>
    <row r="26" spans="2:23" ht="9.9499999999999993" customHeight="1">
      <c r="B26" s="151"/>
      <c r="C26" s="19"/>
      <c r="D26" s="20"/>
      <c r="E26" s="21"/>
      <c r="F26" s="20"/>
      <c r="G26" s="21"/>
      <c r="H26" s="22"/>
      <c r="I26" s="23"/>
      <c r="J26" s="24"/>
      <c r="K26" s="23"/>
      <c r="L26" s="24"/>
      <c r="M26" s="23"/>
      <c r="N26" s="129"/>
      <c r="P26" s="193" t="s">
        <v>1251</v>
      </c>
      <c r="Q26" s="193"/>
      <c r="R26" s="460"/>
      <c r="S26" s="461"/>
      <c r="T26" s="458"/>
      <c r="U26" s="459"/>
      <c r="W26" s="613"/>
    </row>
    <row r="27" spans="2:23" ht="9.9499999999999993" customHeight="1">
      <c r="B27" s="151"/>
      <c r="C27" s="19"/>
      <c r="D27" s="20"/>
      <c r="E27" s="21"/>
      <c r="F27" s="20"/>
      <c r="G27" s="21"/>
      <c r="H27" s="22"/>
      <c r="I27" s="23"/>
      <c r="J27" s="24"/>
      <c r="K27" s="23"/>
      <c r="L27" s="24"/>
      <c r="M27" s="23"/>
      <c r="N27" s="129"/>
      <c r="P27" s="193" t="s">
        <v>1252</v>
      </c>
      <c r="Q27" s="193"/>
      <c r="R27" s="460" t="str">
        <f>fournisseurs!F9</f>
        <v>bdr</v>
      </c>
      <c r="S27" s="461"/>
      <c r="T27" s="456">
        <f>SUMPRODUCT((général[clients]=fournisseurs!I1)*(général[bdr]))*fournisseurs!F5</f>
        <v>1466.7250000000001</v>
      </c>
      <c r="U27" s="457"/>
      <c r="W27" s="613"/>
    </row>
    <row r="28" spans="2:23" ht="9.9499999999999993" customHeight="1">
      <c r="B28" s="151"/>
      <c r="C28" s="19"/>
      <c r="D28" s="20"/>
      <c r="E28" s="21"/>
      <c r="F28" s="20"/>
      <c r="G28" s="21"/>
      <c r="H28" s="22"/>
      <c r="I28" s="23"/>
      <c r="J28" s="24"/>
      <c r="K28" s="23"/>
      <c r="L28" s="24"/>
      <c r="M28" s="23"/>
      <c r="N28" s="129"/>
      <c r="P28" s="194" t="s">
        <v>1253</v>
      </c>
      <c r="Q28" s="197"/>
      <c r="R28" s="460"/>
      <c r="S28" s="461"/>
      <c r="T28" s="458"/>
      <c r="U28" s="459"/>
      <c r="W28" s="614"/>
    </row>
    <row r="29" spans="2:23" ht="9.9499999999999993" customHeight="1">
      <c r="B29" s="151"/>
      <c r="C29" s="19"/>
      <c r="D29" s="20"/>
      <c r="E29" s="21"/>
      <c r="F29" s="20"/>
      <c r="G29" s="21"/>
      <c r="H29" s="22"/>
      <c r="I29" s="23"/>
      <c r="J29" s="24"/>
      <c r="K29" s="23"/>
      <c r="L29" s="24"/>
      <c r="M29" s="23"/>
      <c r="N29" s="129"/>
      <c r="P29" s="194" t="s">
        <v>1254</v>
      </c>
      <c r="Q29" s="197"/>
      <c r="R29" s="460" t="str">
        <f>fournisseurs!G9</f>
        <v>dispano</v>
      </c>
      <c r="S29" s="461"/>
      <c r="T29" s="456">
        <f>SUMPRODUCT((général[clients]=fournisseurs!I1)*(général[dispano]))*fournisseurs!G5</f>
        <v>0</v>
      </c>
      <c r="U29" s="457"/>
      <c r="W29" s="613"/>
    </row>
    <row r="30" spans="2:23" ht="9.9499999999999993" customHeight="1">
      <c r="B30" s="151"/>
      <c r="C30" s="19"/>
      <c r="D30" s="20"/>
      <c r="E30" s="21"/>
      <c r="F30" s="20"/>
      <c r="G30" s="21"/>
      <c r="H30" s="22"/>
      <c r="I30" s="23"/>
      <c r="J30" s="24"/>
      <c r="K30" s="23"/>
      <c r="L30" s="24"/>
      <c r="M30" s="23"/>
      <c r="N30" s="129"/>
      <c r="P30" s="193" t="s">
        <v>1268</v>
      </c>
      <c r="Q30" s="193"/>
      <c r="R30" s="460"/>
      <c r="S30" s="461"/>
      <c r="T30" s="458"/>
      <c r="U30" s="459"/>
      <c r="W30" s="613"/>
    </row>
    <row r="31" spans="2:23" ht="9.9499999999999993" customHeight="1">
      <c r="B31" s="151"/>
      <c r="C31" s="19"/>
      <c r="D31" s="20"/>
      <c r="E31" s="21"/>
      <c r="F31" s="20"/>
      <c r="G31" s="21"/>
      <c r="H31" s="22"/>
      <c r="I31" s="23"/>
      <c r="J31" s="24"/>
      <c r="K31" s="23"/>
      <c r="L31" s="24"/>
      <c r="M31" s="23"/>
      <c r="N31" s="129"/>
      <c r="P31" s="193" t="s">
        <v>1269</v>
      </c>
      <c r="Q31" s="193"/>
      <c r="R31" s="460" t="str">
        <f>fournisseurs!H9</f>
        <v>lc bois</v>
      </c>
      <c r="S31" s="461"/>
      <c r="T31" s="456">
        <f>SUMPRODUCT((général[clients]=fournisseurs!I1)*(général[lc bois]))*fournisseurs!H5</f>
        <v>399.85400000000004</v>
      </c>
      <c r="U31" s="457"/>
      <c r="W31" s="613"/>
    </row>
    <row r="32" spans="2:23" ht="9.9499999999999993" customHeight="1">
      <c r="B32" s="151"/>
      <c r="C32" s="19"/>
      <c r="D32" s="20"/>
      <c r="E32" s="21"/>
      <c r="F32" s="20"/>
      <c r="G32" s="21"/>
      <c r="H32" s="22"/>
      <c r="I32" s="23"/>
      <c r="J32" s="24"/>
      <c r="K32" s="23"/>
      <c r="L32" s="24"/>
      <c r="M32" s="23"/>
      <c r="N32" s="129"/>
      <c r="P32" s="18" t="s">
        <v>1298</v>
      </c>
      <c r="R32" s="460"/>
      <c r="S32" s="461"/>
      <c r="T32" s="458"/>
      <c r="U32" s="459"/>
      <c r="W32" s="613"/>
    </row>
    <row r="33" spans="2:23" ht="9.9499999999999993" customHeight="1">
      <c r="B33" s="151"/>
      <c r="C33" s="19"/>
      <c r="D33" s="20"/>
      <c r="E33" s="21"/>
      <c r="F33" s="20"/>
      <c r="G33" s="21"/>
      <c r="H33" s="22"/>
      <c r="I33" s="23"/>
      <c r="J33" s="24"/>
      <c r="K33" s="23"/>
      <c r="L33" s="24"/>
      <c r="M33" s="23"/>
      <c r="N33" s="129"/>
      <c r="P33" s="18" t="s">
        <v>1281</v>
      </c>
      <c r="R33" s="460" t="str">
        <f>fournisseurs!I9</f>
        <v>wurth</v>
      </c>
      <c r="S33" s="461"/>
      <c r="T33" s="456">
        <f>SUMPRODUCT((général[clients]=fournisseurs!I1)*(général[wurth]))*fournisseurs!I5</f>
        <v>108.55</v>
      </c>
      <c r="U33" s="457"/>
      <c r="W33" s="613"/>
    </row>
    <row r="34" spans="2:23" ht="9.9499999999999993" customHeight="1">
      <c r="B34" s="151"/>
      <c r="C34" s="19"/>
      <c r="D34" s="20"/>
      <c r="E34" s="21"/>
      <c r="F34" s="20"/>
      <c r="G34" s="21"/>
      <c r="H34" s="22"/>
      <c r="I34" s="23"/>
      <c r="J34" s="24"/>
      <c r="K34" s="23"/>
      <c r="L34" s="24"/>
      <c r="M34" s="23"/>
      <c r="N34" s="129"/>
      <c r="P34" s="18" t="s">
        <v>1249</v>
      </c>
      <c r="R34" s="460"/>
      <c r="S34" s="461"/>
      <c r="T34" s="458"/>
      <c r="U34" s="459"/>
      <c r="W34" s="613"/>
    </row>
    <row r="35" spans="2:23" ht="9.9499999999999993" customHeight="1">
      <c r="B35" s="151"/>
      <c r="C35" s="19"/>
      <c r="D35" s="20"/>
      <c r="E35" s="21"/>
      <c r="F35" s="20"/>
      <c r="G35" s="21"/>
      <c r="H35" s="22"/>
      <c r="I35" s="23"/>
      <c r="J35" s="24"/>
      <c r="K35" s="23"/>
      <c r="L35" s="24"/>
      <c r="M35" s="23"/>
      <c r="N35" s="129"/>
      <c r="P35" s="18" t="s">
        <v>1280</v>
      </c>
      <c r="R35" s="460" t="str">
        <f>fournisseurs!J9</f>
        <v>jointeur</v>
      </c>
      <c r="S35" s="461"/>
      <c r="T35" s="456">
        <f>SUMPRODUCT((général[clients]=fournisseurs!I1)*(général[jointeur]))*fournisseurs!J5</f>
        <v>0</v>
      </c>
      <c r="U35" s="457"/>
      <c r="W35" s="613"/>
    </row>
    <row r="36" spans="2:23" ht="9.9499999999999993" customHeight="1">
      <c r="B36" s="151"/>
      <c r="C36" s="19"/>
      <c r="D36" s="20"/>
      <c r="E36" s="21"/>
      <c r="F36" s="20"/>
      <c r="G36" s="21"/>
      <c r="H36" s="22"/>
      <c r="I36" s="23"/>
      <c r="J36" s="24"/>
      <c r="K36" s="23"/>
      <c r="L36" s="24"/>
      <c r="M36" s="23"/>
      <c r="N36" s="129"/>
      <c r="P36" s="18" t="s">
        <v>1274</v>
      </c>
      <c r="R36" s="460"/>
      <c r="S36" s="461"/>
      <c r="T36" s="458"/>
      <c r="U36" s="459"/>
      <c r="W36" s="613"/>
    </row>
    <row r="37" spans="2:23" ht="9.9499999999999993" customHeight="1">
      <c r="B37" s="151"/>
      <c r="C37" s="19"/>
      <c r="D37" s="20"/>
      <c r="E37" s="21"/>
      <c r="F37" s="20"/>
      <c r="G37" s="21"/>
      <c r="H37" s="22"/>
      <c r="I37" s="23"/>
      <c r="J37" s="24"/>
      <c r="K37" s="23"/>
      <c r="L37" s="24"/>
      <c r="M37" s="23"/>
      <c r="N37" s="129"/>
      <c r="P37" s="18" t="s">
        <v>1278</v>
      </c>
      <c r="R37" s="460" t="str">
        <f>fournisseurs!K9</f>
        <v>cged</v>
      </c>
      <c r="S37" s="461"/>
      <c r="T37" s="456">
        <f>SUMPRODUCT((général[clients]=fournisseurs!I1)*(général[cged]))*fournisseurs!K5</f>
        <v>0</v>
      </c>
      <c r="U37" s="457"/>
      <c r="W37" s="613"/>
    </row>
    <row r="38" spans="2:23" ht="9.9499999999999993" customHeight="1">
      <c r="B38" s="151"/>
      <c r="C38" s="19"/>
      <c r="D38" s="20"/>
      <c r="E38" s="21"/>
      <c r="F38" s="20"/>
      <c r="G38" s="21"/>
      <c r="H38" s="22"/>
      <c r="I38" s="23"/>
      <c r="J38" s="24"/>
      <c r="K38" s="23"/>
      <c r="L38" s="24"/>
      <c r="M38" s="23"/>
      <c r="N38" s="129"/>
      <c r="P38" s="18" t="s">
        <v>1275</v>
      </c>
      <c r="R38" s="460"/>
      <c r="S38" s="461"/>
      <c r="T38" s="458"/>
      <c r="U38" s="459"/>
      <c r="W38" s="613"/>
    </row>
    <row r="39" spans="2:23" ht="9.9499999999999993" customHeight="1">
      <c r="B39" s="151"/>
      <c r="C39" s="19"/>
      <c r="D39" s="20"/>
      <c r="E39" s="21"/>
      <c r="F39" s="20"/>
      <c r="G39" s="21"/>
      <c r="H39" s="22"/>
      <c r="I39" s="23"/>
      <c r="J39" s="24"/>
      <c r="K39" s="23"/>
      <c r="L39" s="24"/>
      <c r="M39" s="23"/>
      <c r="N39" s="129"/>
      <c r="P39" s="18" t="s">
        <v>1276</v>
      </c>
      <c r="R39" s="460" t="str">
        <f>fournisseurs!L9</f>
        <v>bois</v>
      </c>
      <c r="S39" s="461"/>
      <c r="T39" s="456">
        <f>SUMPRODUCT((général[clients]=fournisseurs!I1)*(général[bois]))*fournisseurs!L5</f>
        <v>0</v>
      </c>
      <c r="U39" s="457"/>
      <c r="W39" s="613"/>
    </row>
    <row r="40" spans="2:23" ht="9.9499999999999993" customHeight="1">
      <c r="B40" s="151"/>
      <c r="C40" s="19"/>
      <c r="D40" s="20"/>
      <c r="E40" s="21"/>
      <c r="F40" s="20"/>
      <c r="G40" s="21"/>
      <c r="H40" s="22"/>
      <c r="I40" s="23"/>
      <c r="J40" s="24"/>
      <c r="K40" s="23"/>
      <c r="L40" s="24"/>
      <c r="M40" s="23"/>
      <c r="N40" s="129"/>
      <c r="P40" s="18" t="s">
        <v>1279</v>
      </c>
      <c r="R40" s="460"/>
      <c r="S40" s="461"/>
      <c r="T40" s="458"/>
      <c r="U40" s="459"/>
      <c r="W40" s="613"/>
    </row>
    <row r="41" spans="2:23" ht="9.9499999999999993" customHeight="1">
      <c r="B41" s="151"/>
      <c r="C41" s="19"/>
      <c r="D41" s="20"/>
      <c r="E41" s="21"/>
      <c r="F41" s="20"/>
      <c r="G41" s="21"/>
      <c r="H41" s="22"/>
      <c r="I41" s="23"/>
      <c r="J41" s="24"/>
      <c r="K41" s="23"/>
      <c r="L41" s="24"/>
      <c r="M41" s="23"/>
      <c r="N41" s="129"/>
      <c r="P41" s="18" t="s">
        <v>1277</v>
      </c>
      <c r="R41" s="460" t="str">
        <f>fournisseurs!M9</f>
        <v>dechetterie</v>
      </c>
      <c r="S41" s="461"/>
      <c r="T41" s="456">
        <f>SUMPRODUCT((général[clients]=fournisseurs!I1)*(général[dechetterie]))*fournisseurs!M5</f>
        <v>0</v>
      </c>
      <c r="U41" s="457"/>
      <c r="W41" s="613"/>
    </row>
    <row r="42" spans="2:23" ht="9.9499999999999993" customHeight="1">
      <c r="B42" s="151"/>
      <c r="C42" s="19"/>
      <c r="D42" s="20"/>
      <c r="E42" s="21"/>
      <c r="F42" s="20"/>
      <c r="G42" s="21"/>
      <c r="H42" s="22"/>
      <c r="I42" s="23"/>
      <c r="J42" s="24"/>
      <c r="K42" s="23"/>
      <c r="L42" s="24"/>
      <c r="M42" s="23"/>
      <c r="N42" s="129"/>
      <c r="R42" s="460"/>
      <c r="S42" s="461"/>
      <c r="T42" s="458"/>
      <c r="U42" s="459"/>
      <c r="W42" s="613"/>
    </row>
    <row r="43" spans="2:23" ht="9.9499999999999993" customHeight="1">
      <c r="B43" s="151"/>
      <c r="C43" s="19"/>
      <c r="D43" s="20"/>
      <c r="E43" s="21"/>
      <c r="F43" s="20"/>
      <c r="G43" s="21"/>
      <c r="H43" s="22"/>
      <c r="I43" s="23"/>
      <c r="J43" s="24"/>
      <c r="K43" s="23"/>
      <c r="L43" s="24"/>
      <c r="M43" s="23"/>
      <c r="N43" s="129"/>
      <c r="R43" s="460" t="str">
        <f>fournisseurs!N9</f>
        <v>bricolage</v>
      </c>
      <c r="S43" s="461"/>
      <c r="T43" s="456">
        <f>SUMPRODUCT((général[clients]=fournisseurs!I1)*(général[bricolage]))*fournisseurs!N5</f>
        <v>0</v>
      </c>
      <c r="U43" s="457"/>
      <c r="W43" s="613"/>
    </row>
    <row r="44" spans="2:23" ht="9.9499999999999993" customHeight="1">
      <c r="B44" s="151"/>
      <c r="C44" s="19"/>
      <c r="D44" s="20"/>
      <c r="E44" s="21"/>
      <c r="F44" s="20"/>
      <c r="G44" s="21"/>
      <c r="H44" s="22"/>
      <c r="I44" s="23"/>
      <c r="J44" s="24"/>
      <c r="K44" s="23"/>
      <c r="L44" s="24"/>
      <c r="M44" s="23"/>
      <c r="N44" s="129"/>
      <c r="R44" s="460"/>
      <c r="S44" s="461"/>
      <c r="T44" s="458"/>
      <c r="U44" s="459"/>
      <c r="W44" s="614"/>
    </row>
    <row r="45" spans="2:23" ht="9.9499999999999993" customHeight="1">
      <c r="B45" s="151"/>
      <c r="C45" s="19"/>
      <c r="D45" s="20"/>
      <c r="E45" s="21"/>
      <c r="F45" s="20"/>
      <c r="G45" s="21"/>
      <c r="H45" s="22"/>
      <c r="I45" s="23"/>
      <c r="J45" s="24"/>
      <c r="K45" s="23"/>
      <c r="L45" s="24"/>
      <c r="M45" s="23"/>
      <c r="N45" s="129"/>
      <c r="R45" s="460" t="str">
        <f>fournisseurs!O9</f>
        <v>escalier</v>
      </c>
      <c r="S45" s="461"/>
      <c r="T45" s="456">
        <f>SUMPRODUCT((général[clients]=fournisseurs!I1)*(général[escalier]))*fournisseurs!O5</f>
        <v>0</v>
      </c>
      <c r="U45" s="457"/>
      <c r="W45" s="613"/>
    </row>
    <row r="46" spans="2:23" ht="9.9499999999999993" customHeight="1">
      <c r="B46" s="151"/>
      <c r="C46" s="19"/>
      <c r="D46" s="20"/>
      <c r="E46" s="21"/>
      <c r="F46" s="20"/>
      <c r="G46" s="21"/>
      <c r="H46" s="22"/>
      <c r="I46" s="23"/>
      <c r="J46" s="24"/>
      <c r="K46" s="23"/>
      <c r="L46" s="24"/>
      <c r="M46" s="23"/>
      <c r="N46" s="129"/>
      <c r="R46" s="460"/>
      <c r="S46" s="461"/>
      <c r="T46" s="458"/>
      <c r="U46" s="459"/>
      <c r="W46" s="613"/>
    </row>
    <row r="47" spans="2:23" ht="9.9499999999999993" customHeight="1">
      <c r="B47" s="151"/>
      <c r="C47" s="19"/>
      <c r="D47" s="20"/>
      <c r="E47" s="21"/>
      <c r="F47" s="20"/>
      <c r="G47" s="21"/>
      <c r="H47" s="22"/>
      <c r="I47" s="23"/>
      <c r="J47" s="24"/>
      <c r="K47" s="23"/>
      <c r="L47" s="24"/>
      <c r="M47" s="23"/>
      <c r="N47" s="129"/>
      <c r="R47" s="460" t="str">
        <f>fournisseurs!P9</f>
        <v>nord blayais</v>
      </c>
      <c r="S47" s="461"/>
      <c r="T47" s="456">
        <f>SUMPRODUCT((général[clients]=fournisseurs!I1)*(général[nord blayais]))*fournisseurs!P5</f>
        <v>0</v>
      </c>
      <c r="U47" s="457"/>
      <c r="W47" s="613"/>
    </row>
    <row r="48" spans="2:23" ht="9.9499999999999993" customHeight="1">
      <c r="B48" s="151"/>
      <c r="C48" s="19"/>
      <c r="D48" s="20"/>
      <c r="E48" s="21"/>
      <c r="F48" s="20"/>
      <c r="G48" s="21"/>
      <c r="H48" s="22"/>
      <c r="I48" s="23"/>
      <c r="J48" s="24"/>
      <c r="K48" s="23"/>
      <c r="L48" s="24"/>
      <c r="M48" s="23"/>
      <c r="N48" s="129"/>
      <c r="R48" s="460"/>
      <c r="S48" s="461"/>
      <c r="T48" s="458"/>
      <c r="U48" s="459"/>
      <c r="W48" s="613"/>
    </row>
    <row r="49" spans="2:23" ht="9.9499999999999993" customHeight="1">
      <c r="B49" s="151"/>
      <c r="C49" s="19"/>
      <c r="D49" s="20"/>
      <c r="E49" s="21"/>
      <c r="F49" s="20"/>
      <c r="G49" s="21"/>
      <c r="H49" s="22"/>
      <c r="I49" s="23"/>
      <c r="J49" s="24"/>
      <c r="K49" s="23"/>
      <c r="L49" s="24"/>
      <c r="M49" s="23"/>
      <c r="N49" s="129"/>
      <c r="R49" s="519" t="s">
        <v>3</v>
      </c>
      <c r="S49" s="520"/>
      <c r="T49" s="462">
        <f>+SUM(T21:U48)</f>
        <v>2082.8210000000004</v>
      </c>
      <c r="U49" s="463"/>
      <c r="W49" s="614"/>
    </row>
    <row r="50" spans="2:23" ht="9.9499999999999993" customHeight="1">
      <c r="B50" s="151"/>
      <c r="C50" s="19"/>
      <c r="D50" s="20"/>
      <c r="E50" s="21"/>
      <c r="F50" s="20"/>
      <c r="G50" s="21"/>
      <c r="H50" s="22"/>
      <c r="I50" s="23"/>
      <c r="J50" s="24"/>
      <c r="K50" s="23"/>
      <c r="L50" s="24"/>
      <c r="M50" s="23"/>
      <c r="N50" s="129"/>
      <c r="R50" s="532"/>
      <c r="S50" s="533"/>
      <c r="T50" s="464"/>
      <c r="U50" s="465"/>
      <c r="W50" s="613"/>
    </row>
    <row r="51" spans="2:23" ht="9.9499999999999993" customHeight="1">
      <c r="B51" s="151"/>
      <c r="C51" s="19"/>
      <c r="D51" s="20"/>
      <c r="E51" s="21"/>
      <c r="F51" s="20"/>
      <c r="G51" s="21"/>
      <c r="H51" s="22"/>
      <c r="I51" s="23"/>
      <c r="J51" s="24"/>
      <c r="K51" s="23"/>
      <c r="L51" s="24"/>
      <c r="M51" s="23"/>
      <c r="N51" s="129"/>
      <c r="R51" s="519" t="s">
        <v>1711</v>
      </c>
      <c r="S51" s="529"/>
      <c r="T51" s="462" t="str">
        <f>P15</f>
        <v>perez</v>
      </c>
      <c r="U51" s="463"/>
      <c r="W51" s="613"/>
    </row>
    <row r="52" spans="2:23" ht="9.9499999999999993" customHeight="1">
      <c r="B52" s="151"/>
      <c r="C52" s="19"/>
      <c r="D52" s="20"/>
      <c r="E52" s="21"/>
      <c r="F52" s="20"/>
      <c r="G52" s="21"/>
      <c r="H52" s="22"/>
      <c r="I52" s="23"/>
      <c r="J52" s="24"/>
      <c r="K52" s="23"/>
      <c r="L52" s="24"/>
      <c r="M52" s="23"/>
      <c r="N52" s="129"/>
      <c r="R52" s="530"/>
      <c r="S52" s="531"/>
      <c r="T52" s="464"/>
      <c r="U52" s="465"/>
      <c r="W52" s="613"/>
    </row>
    <row r="53" spans="2:23" ht="9.9499999999999993" customHeight="1">
      <c r="B53" s="151"/>
      <c r="C53" s="19"/>
      <c r="D53" s="20"/>
      <c r="E53" s="21"/>
      <c r="F53" s="20"/>
      <c r="G53" s="21"/>
      <c r="H53" s="22"/>
      <c r="I53" s="23"/>
      <c r="J53" s="24"/>
      <c r="K53" s="23"/>
      <c r="L53" s="24"/>
      <c r="M53" s="23"/>
      <c r="N53" s="129"/>
      <c r="R53" s="466" t="s">
        <v>1182</v>
      </c>
      <c r="S53" s="468">
        <v>10</v>
      </c>
      <c r="T53" s="462" t="e">
        <f>(T49+T51)*S53/100</f>
        <v>#VALUE!</v>
      </c>
      <c r="U53" s="463"/>
      <c r="W53" s="613"/>
    </row>
    <row r="54" spans="2:23" ht="9.9499999999999993" customHeight="1">
      <c r="B54" s="151"/>
      <c r="C54" s="19"/>
      <c r="D54" s="20"/>
      <c r="E54" s="21"/>
      <c r="F54" s="20"/>
      <c r="G54" s="21"/>
      <c r="H54" s="22"/>
      <c r="I54" s="23"/>
      <c r="J54" s="24"/>
      <c r="K54" s="23"/>
      <c r="L54" s="24"/>
      <c r="M54" s="23"/>
      <c r="N54" s="129"/>
      <c r="R54" s="467"/>
      <c r="S54" s="469"/>
      <c r="T54" s="464"/>
      <c r="U54" s="465"/>
      <c r="W54" s="613"/>
    </row>
    <row r="55" spans="2:23" ht="9.9499999999999993" customHeight="1">
      <c r="B55" s="151"/>
      <c r="C55" s="19"/>
      <c r="D55" s="20"/>
      <c r="E55" s="21"/>
      <c r="F55" s="20"/>
      <c r="G55" s="21"/>
      <c r="H55" s="22"/>
      <c r="I55" s="23"/>
      <c r="J55" s="24"/>
      <c r="K55" s="23"/>
      <c r="L55" s="24"/>
      <c r="M55" s="23"/>
      <c r="N55" s="129"/>
      <c r="R55" s="519" t="s">
        <v>1669</v>
      </c>
      <c r="S55" s="520"/>
      <c r="T55" s="462" t="e">
        <f>T53+T49+T51</f>
        <v>#VALUE!</v>
      </c>
      <c r="U55" s="463"/>
      <c r="W55" s="613"/>
    </row>
    <row r="56" spans="2:23" ht="9.9499999999999993" customHeight="1" thickBot="1">
      <c r="B56" s="151"/>
      <c r="C56" s="19"/>
      <c r="D56" s="20"/>
      <c r="E56" s="21"/>
      <c r="F56" s="20"/>
      <c r="G56" s="21"/>
      <c r="H56" s="22"/>
      <c r="I56" s="23"/>
      <c r="J56" s="24"/>
      <c r="K56" s="23"/>
      <c r="L56" s="24"/>
      <c r="M56" s="23"/>
      <c r="N56" s="129"/>
      <c r="R56" s="521"/>
      <c r="S56" s="522"/>
      <c r="T56" s="470"/>
      <c r="U56" s="471"/>
      <c r="W56" s="613"/>
    </row>
    <row r="57" spans="2:23" ht="9.9499999999999993" customHeight="1">
      <c r="B57" s="151"/>
      <c r="C57" s="19"/>
      <c r="D57" s="20"/>
      <c r="E57" s="21"/>
      <c r="F57" s="20"/>
      <c r="G57" s="21"/>
      <c r="H57" s="22"/>
      <c r="I57" s="23"/>
      <c r="J57" s="24"/>
      <c r="K57" s="23"/>
      <c r="L57" s="24"/>
      <c r="M57" s="23"/>
      <c r="N57" s="129"/>
      <c r="R57" s="192"/>
      <c r="S57" s="192"/>
      <c r="W57" s="615"/>
    </row>
    <row r="58" spans="2:23" ht="9.9499999999999993" customHeight="1">
      <c r="B58" s="151"/>
      <c r="C58" s="19"/>
      <c r="D58" s="20"/>
      <c r="E58" s="21"/>
      <c r="F58" s="20"/>
      <c r="G58" s="21"/>
      <c r="H58" s="22"/>
      <c r="I58" s="23"/>
      <c r="J58" s="24"/>
      <c r="K58" s="23"/>
      <c r="L58" s="24"/>
      <c r="M58" s="23"/>
      <c r="N58" s="129"/>
    </row>
    <row r="59" spans="2:23" ht="9.9499999999999993" customHeight="1">
      <c r="B59" s="151"/>
      <c r="C59" s="19"/>
      <c r="D59" s="20"/>
      <c r="E59" s="21"/>
      <c r="F59" s="20"/>
      <c r="G59" s="21"/>
      <c r="H59" s="22"/>
      <c r="I59" s="23"/>
      <c r="J59" s="24"/>
      <c r="K59" s="23"/>
      <c r="L59" s="24"/>
      <c r="M59" s="23"/>
      <c r="N59" s="129"/>
    </row>
    <row r="60" spans="2:23" ht="9.9499999999999993" customHeight="1">
      <c r="B60" s="151"/>
      <c r="C60" s="19"/>
      <c r="D60" s="20"/>
      <c r="E60" s="21"/>
      <c r="F60" s="20"/>
      <c r="G60" s="21"/>
      <c r="H60" s="22"/>
      <c r="I60" s="23"/>
      <c r="J60" s="24"/>
      <c r="K60" s="23"/>
      <c r="L60" s="24"/>
      <c r="M60" s="23"/>
      <c r="N60" s="129"/>
    </row>
    <row r="61" spans="2:23" ht="9.9499999999999993" customHeight="1">
      <c r="B61" s="151"/>
      <c r="C61" s="19"/>
      <c r="D61" s="20"/>
      <c r="E61" s="21"/>
      <c r="F61" s="20"/>
      <c r="G61" s="21"/>
      <c r="H61" s="22"/>
      <c r="I61" s="23"/>
      <c r="J61" s="24"/>
      <c r="K61" s="23"/>
      <c r="L61" s="24"/>
      <c r="M61" s="23"/>
      <c r="N61" s="129"/>
    </row>
    <row r="62" spans="2:23" ht="9.9499999999999993" customHeight="1">
      <c r="B62" s="151"/>
      <c r="C62" s="19"/>
      <c r="D62" s="20"/>
      <c r="E62" s="21"/>
      <c r="F62" s="20"/>
      <c r="G62" s="21"/>
      <c r="H62" s="22"/>
      <c r="I62" s="23"/>
      <c r="J62" s="24"/>
      <c r="K62" s="23"/>
      <c r="L62" s="24"/>
      <c r="M62" s="23"/>
      <c r="N62" s="129"/>
    </row>
    <row r="63" spans="2:23" ht="9.9499999999999993" customHeight="1">
      <c r="B63" s="151"/>
      <c r="C63" s="19"/>
      <c r="D63" s="20"/>
      <c r="E63" s="21"/>
      <c r="F63" s="20"/>
      <c r="G63" s="21"/>
      <c r="H63" s="22"/>
      <c r="I63" s="23"/>
      <c r="J63" s="24"/>
      <c r="K63" s="23"/>
      <c r="L63" s="24"/>
      <c r="M63" s="23"/>
      <c r="N63" s="129"/>
    </row>
    <row r="64" spans="2:23" ht="9.9499999999999993" customHeight="1">
      <c r="B64" s="151"/>
      <c r="C64" s="19"/>
      <c r="D64" s="20"/>
      <c r="E64" s="21"/>
      <c r="F64" s="20"/>
      <c r="G64" s="21"/>
      <c r="H64" s="22"/>
      <c r="I64" s="23"/>
      <c r="J64" s="24"/>
      <c r="K64" s="23"/>
      <c r="L64" s="24"/>
      <c r="M64" s="23"/>
      <c r="N64" s="129"/>
    </row>
    <row r="65" spans="2:14" ht="9.9499999999999993" customHeight="1">
      <c r="B65" s="151"/>
      <c r="C65" s="19"/>
      <c r="D65" s="20"/>
      <c r="E65" s="21"/>
      <c r="F65" s="20"/>
      <c r="G65" s="21"/>
      <c r="H65" s="22"/>
      <c r="I65" s="23"/>
      <c r="J65" s="24"/>
      <c r="K65" s="23"/>
      <c r="L65" s="24"/>
      <c r="M65" s="23"/>
      <c r="N65" s="129"/>
    </row>
    <row r="66" spans="2:14" ht="9.9499999999999993" customHeight="1">
      <c r="B66" s="151"/>
      <c r="C66" s="19"/>
      <c r="D66" s="20"/>
      <c r="E66" s="21"/>
      <c r="F66" s="20"/>
      <c r="G66" s="21"/>
      <c r="H66" s="22"/>
      <c r="I66" s="23"/>
      <c r="J66" s="24"/>
      <c r="K66" s="23"/>
      <c r="L66" s="24"/>
      <c r="M66" s="23"/>
      <c r="N66" s="129"/>
    </row>
    <row r="67" spans="2:14" ht="9.9499999999999993" customHeight="1">
      <c r="B67" s="151"/>
      <c r="C67" s="19"/>
      <c r="D67" s="20"/>
      <c r="E67" s="21"/>
      <c r="F67" s="20"/>
      <c r="G67" s="21"/>
      <c r="H67" s="22"/>
      <c r="I67" s="23"/>
      <c r="J67" s="24"/>
      <c r="K67" s="23"/>
      <c r="L67" s="24"/>
      <c r="M67" s="23"/>
      <c r="N67" s="129"/>
    </row>
    <row r="68" spans="2:14" ht="9.9499999999999993" customHeight="1">
      <c r="B68" s="151"/>
      <c r="C68" s="19"/>
      <c r="D68" s="20"/>
      <c r="E68" s="21"/>
      <c r="F68" s="20"/>
      <c r="G68" s="21"/>
      <c r="H68" s="22"/>
      <c r="I68" s="23"/>
      <c r="J68" s="24"/>
      <c r="K68" s="23"/>
      <c r="L68" s="24"/>
      <c r="M68" s="23"/>
      <c r="N68" s="129"/>
    </row>
    <row r="69" spans="2:14" ht="9.9499999999999993" customHeight="1">
      <c r="B69" s="151"/>
      <c r="C69" s="19"/>
      <c r="D69" s="20"/>
      <c r="E69" s="21"/>
      <c r="F69" s="20"/>
      <c r="G69" s="21"/>
      <c r="H69" s="22"/>
      <c r="I69" s="23"/>
      <c r="J69" s="24"/>
      <c r="K69" s="23"/>
      <c r="L69" s="24"/>
      <c r="M69" s="23"/>
      <c r="N69" s="129"/>
    </row>
    <row r="70" spans="2:14" ht="9.9499999999999993" customHeight="1">
      <c r="B70" s="151"/>
      <c r="C70" s="19"/>
      <c r="D70" s="20"/>
      <c r="E70" s="21"/>
      <c r="F70" s="20"/>
      <c r="G70" s="21"/>
      <c r="H70" s="22"/>
      <c r="I70" s="23"/>
      <c r="J70" s="24"/>
      <c r="K70" s="23"/>
      <c r="L70" s="24"/>
      <c r="M70" s="23"/>
      <c r="N70" s="129"/>
    </row>
    <row r="71" spans="2:14" ht="9.9499999999999993" customHeight="1">
      <c r="B71" s="151"/>
      <c r="C71" s="19"/>
      <c r="D71" s="20"/>
      <c r="E71" s="21"/>
      <c r="F71" s="20"/>
      <c r="G71" s="21"/>
      <c r="H71" s="22"/>
      <c r="I71" s="23"/>
      <c r="J71" s="24"/>
      <c r="K71" s="23"/>
      <c r="L71" s="24"/>
      <c r="M71" s="23"/>
      <c r="N71" s="129"/>
    </row>
    <row r="72" spans="2:14" ht="9.9499999999999993" customHeight="1">
      <c r="B72" s="151"/>
      <c r="C72" s="19"/>
      <c r="D72" s="20"/>
      <c r="E72" s="21"/>
      <c r="F72" s="20"/>
      <c r="G72" s="21"/>
      <c r="H72" s="22"/>
      <c r="I72" s="23"/>
      <c r="J72" s="24"/>
      <c r="K72" s="23"/>
      <c r="L72" s="24"/>
      <c r="M72" s="23"/>
      <c r="N72" s="129"/>
    </row>
    <row r="73" spans="2:14" ht="9.9499999999999993" customHeight="1">
      <c r="B73" s="151"/>
      <c r="C73" s="19"/>
      <c r="D73" s="20"/>
      <c r="E73" s="21"/>
      <c r="F73" s="20"/>
      <c r="G73" s="21"/>
      <c r="H73" s="22"/>
      <c r="I73" s="23"/>
      <c r="J73" s="24"/>
      <c r="K73" s="23"/>
      <c r="L73" s="24"/>
      <c r="M73" s="23"/>
      <c r="N73" s="129"/>
    </row>
    <row r="74" spans="2:14" ht="9.9499999999999993" customHeight="1">
      <c r="B74" s="151"/>
      <c r="C74" s="19"/>
      <c r="D74" s="20"/>
      <c r="E74" s="21"/>
      <c r="F74" s="20"/>
      <c r="G74" s="21"/>
      <c r="H74" s="22"/>
      <c r="I74" s="23"/>
      <c r="J74" s="24"/>
      <c r="K74" s="23"/>
      <c r="L74" s="24"/>
      <c r="M74" s="23"/>
      <c r="N74" s="129"/>
    </row>
    <row r="75" spans="2:14" ht="9.9499999999999993" customHeight="1">
      <c r="B75" s="151"/>
      <c r="C75" s="19"/>
      <c r="D75" s="20"/>
      <c r="E75" s="21"/>
      <c r="F75" s="20"/>
      <c r="G75" s="21"/>
      <c r="H75" s="22"/>
      <c r="I75" s="23"/>
      <c r="J75" s="24"/>
      <c r="K75" s="23"/>
      <c r="L75" s="24"/>
      <c r="M75" s="23"/>
      <c r="N75" s="129"/>
    </row>
    <row r="76" spans="2:14" ht="9.9499999999999993" customHeight="1">
      <c r="B76" s="151"/>
      <c r="C76" s="19"/>
      <c r="D76" s="20"/>
      <c r="E76" s="21"/>
      <c r="F76" s="20"/>
      <c r="G76" s="21"/>
      <c r="H76" s="22"/>
      <c r="I76" s="23"/>
      <c r="J76" s="24"/>
      <c r="K76" s="23"/>
      <c r="L76" s="24"/>
      <c r="M76" s="23"/>
      <c r="N76" s="129"/>
    </row>
    <row r="77" spans="2:14" ht="9.9499999999999993" customHeight="1">
      <c r="B77" s="151"/>
      <c r="C77" s="19"/>
      <c r="D77" s="20"/>
      <c r="E77" s="21"/>
      <c r="F77" s="20"/>
      <c r="G77" s="21"/>
      <c r="H77" s="22"/>
      <c r="I77" s="23"/>
      <c r="J77" s="24"/>
      <c r="K77" s="23"/>
      <c r="L77" s="24"/>
      <c r="M77" s="23"/>
      <c r="N77" s="129"/>
    </row>
    <row r="78" spans="2:14" ht="9.9499999999999993" customHeight="1">
      <c r="B78" s="151"/>
      <c r="C78" s="19"/>
      <c r="D78" s="20"/>
      <c r="E78" s="21"/>
      <c r="F78" s="20"/>
      <c r="G78" s="21"/>
      <c r="H78" s="22"/>
      <c r="I78" s="23"/>
      <c r="J78" s="24"/>
      <c r="K78" s="23"/>
      <c r="L78" s="24"/>
      <c r="M78" s="23"/>
      <c r="N78" s="129"/>
    </row>
    <row r="79" spans="2:14" ht="9.9499999999999993" customHeight="1">
      <c r="B79" s="151"/>
      <c r="C79" s="19"/>
      <c r="D79" s="20"/>
      <c r="E79" s="21"/>
      <c r="F79" s="20"/>
      <c r="G79" s="21"/>
      <c r="H79" s="22"/>
      <c r="I79" s="23"/>
      <c r="J79" s="24"/>
      <c r="K79" s="23"/>
      <c r="L79" s="24"/>
      <c r="M79" s="23"/>
      <c r="N79" s="129"/>
    </row>
    <row r="80" spans="2:14" ht="9.9499999999999993" customHeight="1">
      <c r="B80" s="151"/>
      <c r="C80" s="19"/>
      <c r="D80" s="20"/>
      <c r="E80" s="21"/>
      <c r="F80" s="20"/>
      <c r="G80" s="21"/>
      <c r="H80" s="22"/>
      <c r="I80" s="23"/>
      <c r="J80" s="24"/>
      <c r="K80" s="23"/>
      <c r="L80" s="24"/>
      <c r="M80" s="23"/>
      <c r="N80" s="129"/>
    </row>
    <row r="81" spans="2:14" ht="9.9499999999999993" customHeight="1">
      <c r="B81" s="151"/>
      <c r="C81" s="19"/>
      <c r="D81" s="20"/>
      <c r="E81" s="21"/>
      <c r="F81" s="20"/>
      <c r="G81" s="21"/>
      <c r="H81" s="22"/>
      <c r="I81" s="23"/>
      <c r="J81" s="24"/>
      <c r="K81" s="23"/>
      <c r="L81" s="24"/>
      <c r="M81" s="23"/>
      <c r="N81" s="129"/>
    </row>
    <row r="82" spans="2:14" ht="9.9499999999999993" customHeight="1">
      <c r="B82" s="151"/>
      <c r="C82" s="19"/>
      <c r="D82" s="20"/>
      <c r="E82" s="21"/>
      <c r="F82" s="20"/>
      <c r="G82" s="21"/>
      <c r="H82" s="22"/>
      <c r="I82" s="23"/>
      <c r="J82" s="24"/>
      <c r="K82" s="23"/>
      <c r="L82" s="24"/>
      <c r="M82" s="23"/>
      <c r="N82" s="129"/>
    </row>
    <row r="83" spans="2:14" ht="9.9499999999999993" customHeight="1">
      <c r="B83" s="151"/>
      <c r="C83" s="19"/>
      <c r="D83" s="20"/>
      <c r="E83" s="21"/>
      <c r="F83" s="20"/>
      <c r="G83" s="21"/>
      <c r="H83" s="22"/>
      <c r="I83" s="23"/>
      <c r="J83" s="24"/>
      <c r="K83" s="23"/>
      <c r="L83" s="24"/>
      <c r="M83" s="23"/>
      <c r="N83" s="129"/>
    </row>
    <row r="84" spans="2:14" ht="9.9499999999999993" customHeight="1">
      <c r="B84" s="151"/>
      <c r="C84" s="19"/>
      <c r="D84" s="20"/>
      <c r="E84" s="21"/>
      <c r="F84" s="20"/>
      <c r="G84" s="21"/>
      <c r="H84" s="22"/>
      <c r="I84" s="23"/>
      <c r="J84" s="24"/>
      <c r="K84" s="23"/>
      <c r="L84" s="24"/>
      <c r="M84" s="23"/>
      <c r="N84" s="129"/>
    </row>
    <row r="85" spans="2:14" ht="9.9499999999999993" customHeight="1">
      <c r="B85" s="151"/>
      <c r="C85" s="19"/>
      <c r="D85" s="20"/>
      <c r="E85" s="21"/>
      <c r="F85" s="20"/>
      <c r="G85" s="21"/>
      <c r="H85" s="22"/>
      <c r="I85" s="23"/>
      <c r="J85" s="24"/>
      <c r="K85" s="23"/>
      <c r="L85" s="24"/>
      <c r="M85" s="23"/>
      <c r="N85" s="129"/>
    </row>
    <row r="86" spans="2:14" ht="9.9499999999999993" customHeight="1">
      <c r="B86" s="151"/>
      <c r="C86" s="19"/>
      <c r="D86" s="20"/>
      <c r="E86" s="21"/>
      <c r="F86" s="20"/>
      <c r="G86" s="21"/>
      <c r="H86" s="22"/>
      <c r="I86" s="23"/>
      <c r="J86" s="24"/>
      <c r="K86" s="23"/>
      <c r="L86" s="24"/>
      <c r="M86" s="23"/>
      <c r="N86" s="129"/>
    </row>
    <row r="87" spans="2:14" ht="9.9499999999999993" customHeight="1">
      <c r="B87" s="151"/>
      <c r="C87" s="19"/>
      <c r="D87" s="20"/>
      <c r="E87" s="21"/>
      <c r="F87" s="20"/>
      <c r="G87" s="21"/>
      <c r="H87" s="22"/>
      <c r="I87" s="23"/>
      <c r="J87" s="24"/>
      <c r="K87" s="23"/>
      <c r="L87" s="24"/>
      <c r="M87" s="23"/>
      <c r="N87" s="129"/>
    </row>
    <row r="88" spans="2:14" ht="9.9499999999999993" customHeight="1">
      <c r="B88" s="151"/>
      <c r="C88" s="19"/>
      <c r="D88" s="20"/>
      <c r="E88" s="21"/>
      <c r="F88" s="20"/>
      <c r="G88" s="21"/>
      <c r="H88" s="22"/>
      <c r="I88" s="23"/>
      <c r="J88" s="24"/>
      <c r="K88" s="23"/>
      <c r="L88" s="24"/>
      <c r="M88" s="23"/>
      <c r="N88" s="129"/>
    </row>
    <row r="89" spans="2:14" ht="9.9499999999999993" customHeight="1">
      <c r="B89" s="151"/>
      <c r="C89" s="19"/>
      <c r="D89" s="20"/>
      <c r="E89" s="21"/>
      <c r="F89" s="20"/>
      <c r="G89" s="21"/>
      <c r="H89" s="22"/>
      <c r="I89" s="23"/>
      <c r="J89" s="24"/>
      <c r="K89" s="23"/>
      <c r="L89" s="24"/>
      <c r="M89" s="23"/>
      <c r="N89" s="129"/>
    </row>
    <row r="90" spans="2:14" ht="9.9499999999999993" customHeight="1">
      <c r="B90" s="151"/>
      <c r="C90" s="19"/>
      <c r="D90" s="20"/>
      <c r="E90" s="21"/>
      <c r="F90" s="20"/>
      <c r="G90" s="21"/>
      <c r="H90" s="22"/>
      <c r="I90" s="23"/>
      <c r="J90" s="24"/>
      <c r="K90" s="23"/>
      <c r="L90" s="24"/>
      <c r="M90" s="23"/>
      <c r="N90" s="129"/>
    </row>
    <row r="91" spans="2:14" ht="9.9499999999999993" customHeight="1">
      <c r="B91" s="151"/>
      <c r="C91" s="19"/>
      <c r="D91" s="20"/>
      <c r="E91" s="21"/>
      <c r="F91" s="20"/>
      <c r="G91" s="21"/>
      <c r="H91" s="22"/>
      <c r="I91" s="23"/>
      <c r="J91" s="24"/>
      <c r="K91" s="23"/>
      <c r="L91" s="24"/>
      <c r="M91" s="23"/>
      <c r="N91" s="129"/>
    </row>
    <row r="92" spans="2:14" ht="9.9499999999999993" customHeight="1">
      <c r="B92" s="151"/>
      <c r="C92" s="19"/>
      <c r="D92" s="20"/>
      <c r="E92" s="21"/>
      <c r="F92" s="20"/>
      <c r="G92" s="21"/>
      <c r="H92" s="22"/>
      <c r="I92" s="23"/>
      <c r="J92" s="24"/>
      <c r="K92" s="23"/>
      <c r="L92" s="24"/>
      <c r="M92" s="23"/>
      <c r="N92" s="129"/>
    </row>
    <row r="93" spans="2:14" ht="9.9499999999999993" customHeight="1">
      <c r="B93" s="151"/>
      <c r="C93" s="19"/>
      <c r="D93" s="20"/>
      <c r="E93" s="21"/>
      <c r="F93" s="20"/>
      <c r="G93" s="21"/>
      <c r="H93" s="22"/>
      <c r="I93" s="23"/>
      <c r="J93" s="24"/>
      <c r="K93" s="23"/>
      <c r="L93" s="24"/>
      <c r="M93" s="23"/>
      <c r="N93" s="129"/>
    </row>
    <row r="94" spans="2:14" ht="9.9499999999999993" customHeight="1">
      <c r="B94" s="151"/>
      <c r="C94" s="19"/>
      <c r="D94" s="20"/>
      <c r="E94" s="21"/>
      <c r="F94" s="20"/>
      <c r="G94" s="21"/>
      <c r="H94" s="22"/>
      <c r="I94" s="23"/>
      <c r="J94" s="24"/>
      <c r="K94" s="23"/>
      <c r="L94" s="24"/>
      <c r="M94" s="23"/>
      <c r="N94" s="129"/>
    </row>
    <row r="95" spans="2:14" ht="9.9499999999999993" customHeight="1">
      <c r="B95" s="151"/>
      <c r="C95" s="19"/>
      <c r="D95" s="20"/>
      <c r="E95" s="21"/>
      <c r="F95" s="20"/>
      <c r="G95" s="21"/>
      <c r="H95" s="22"/>
      <c r="I95" s="23"/>
      <c r="J95" s="24"/>
      <c r="K95" s="23"/>
      <c r="L95" s="24"/>
      <c r="M95" s="23"/>
      <c r="N95" s="129"/>
    </row>
    <row r="96" spans="2:14" ht="9.9499999999999993" customHeight="1">
      <c r="B96" s="151"/>
      <c r="C96" s="19"/>
      <c r="D96" s="20"/>
      <c r="E96" s="21"/>
      <c r="F96" s="20"/>
      <c r="G96" s="21"/>
      <c r="H96" s="22"/>
      <c r="I96" s="23"/>
      <c r="J96" s="24"/>
      <c r="K96" s="23"/>
      <c r="L96" s="24"/>
      <c r="M96" s="23"/>
      <c r="N96" s="129"/>
    </row>
    <row r="97" spans="2:22" ht="9.9499999999999993" customHeight="1">
      <c r="B97" s="151"/>
      <c r="C97" s="19"/>
      <c r="D97" s="20"/>
      <c r="E97" s="21"/>
      <c r="F97" s="20"/>
      <c r="G97" s="21"/>
      <c r="H97" s="22"/>
      <c r="I97" s="23"/>
      <c r="J97" s="24"/>
      <c r="K97" s="23"/>
      <c r="L97" s="24"/>
      <c r="M97" s="23"/>
      <c r="N97" s="129"/>
    </row>
    <row r="98" spans="2:22" ht="9.9499999999999993" customHeight="1">
      <c r="B98" s="151"/>
      <c r="C98" s="19"/>
      <c r="D98" s="20"/>
      <c r="E98" s="21"/>
      <c r="F98" s="20"/>
      <c r="G98" s="21"/>
      <c r="H98" s="22"/>
      <c r="I98" s="23"/>
      <c r="J98" s="24"/>
      <c r="K98" s="23"/>
      <c r="L98" s="24"/>
      <c r="M98" s="23"/>
      <c r="N98" s="129"/>
    </row>
    <row r="99" spans="2:22" ht="9.9499999999999993" customHeight="1">
      <c r="B99" s="151"/>
      <c r="C99" s="41"/>
      <c r="D99" s="20"/>
      <c r="E99" s="21"/>
      <c r="F99" s="20"/>
      <c r="G99" s="21"/>
      <c r="H99" s="22"/>
      <c r="I99" s="23"/>
      <c r="J99" s="24"/>
      <c r="K99" s="23"/>
      <c r="L99" s="24"/>
      <c r="M99" s="23"/>
      <c r="N99" s="129"/>
    </row>
    <row r="100" spans="2:22" ht="9.9499999999999993" customHeight="1">
      <c r="B100" s="151"/>
      <c r="C100" s="19"/>
      <c r="D100" s="20"/>
      <c r="E100" s="21"/>
      <c r="F100" s="20"/>
      <c r="G100" s="21"/>
      <c r="H100" s="22"/>
      <c r="I100" s="23"/>
      <c r="J100" s="24"/>
      <c r="K100" s="23"/>
      <c r="L100" s="24"/>
      <c r="M100" s="23"/>
      <c r="N100" s="129"/>
    </row>
    <row r="101" spans="2:22" ht="9.9499999999999993" customHeight="1">
      <c r="B101" s="151"/>
      <c r="C101" s="19"/>
      <c r="D101" s="20"/>
      <c r="E101" s="21"/>
      <c r="F101" s="20"/>
      <c r="G101" s="21"/>
      <c r="H101" s="22"/>
      <c r="I101" s="23"/>
      <c r="J101" s="24"/>
      <c r="K101" s="23"/>
      <c r="L101" s="24"/>
      <c r="M101" s="23"/>
      <c r="N101" s="129"/>
    </row>
    <row r="102" spans="2:22" ht="9.9499999999999993" customHeight="1">
      <c r="B102" s="151"/>
      <c r="C102" s="19"/>
      <c r="D102" s="20"/>
      <c r="E102" s="21"/>
      <c r="F102" s="20"/>
      <c r="G102" s="21"/>
      <c r="H102" s="22"/>
      <c r="I102" s="23"/>
      <c r="J102" s="24"/>
      <c r="K102" s="23"/>
      <c r="L102" s="24"/>
      <c r="M102" s="23"/>
      <c r="N102" s="129"/>
    </row>
    <row r="103" spans="2:22" ht="9.9499999999999993" customHeight="1">
      <c r="B103" s="151"/>
      <c r="C103" s="19"/>
      <c r="D103" s="20"/>
      <c r="E103" s="21"/>
      <c r="F103" s="20"/>
      <c r="G103" s="21"/>
      <c r="H103" s="22"/>
      <c r="I103" s="23"/>
      <c r="J103" s="24"/>
      <c r="K103" s="23"/>
      <c r="L103" s="24"/>
      <c r="M103" s="23"/>
      <c r="N103" s="129"/>
    </row>
    <row r="104" spans="2:22" ht="9.9499999999999993" customHeight="1">
      <c r="B104" s="151"/>
      <c r="C104" s="19"/>
      <c r="D104" s="20"/>
      <c r="E104" s="21"/>
      <c r="F104" s="20"/>
      <c r="G104" s="21"/>
      <c r="H104" s="22"/>
      <c r="I104" s="23"/>
      <c r="J104" s="24"/>
      <c r="K104" s="23"/>
      <c r="L104" s="24"/>
      <c r="M104" s="23"/>
      <c r="N104" s="129"/>
    </row>
    <row r="105" spans="2:22" ht="9.9499999999999993" customHeight="1">
      <c r="B105" s="151"/>
      <c r="C105" s="19"/>
      <c r="D105" s="20"/>
      <c r="E105" s="21"/>
      <c r="F105" s="20"/>
      <c r="G105" s="21"/>
      <c r="H105" s="22"/>
      <c r="I105" s="23"/>
      <c r="J105" s="24"/>
      <c r="K105" s="23"/>
      <c r="L105" s="24"/>
      <c r="M105" s="23"/>
      <c r="N105" s="129"/>
    </row>
    <row r="106" spans="2:22" ht="9.9499999999999993" customHeight="1">
      <c r="B106" s="151"/>
      <c r="C106" s="19"/>
      <c r="D106" s="20"/>
      <c r="E106" s="21"/>
      <c r="F106" s="20"/>
      <c r="G106" s="21"/>
      <c r="H106" s="22"/>
      <c r="I106" s="23"/>
      <c r="J106" s="24"/>
      <c r="K106" s="23"/>
      <c r="L106" s="24"/>
      <c r="M106" s="23"/>
      <c r="N106" s="129"/>
    </row>
    <row r="107" spans="2:22" ht="9.9499999999999993" customHeight="1">
      <c r="B107" s="151"/>
      <c r="C107" s="19"/>
      <c r="D107" s="20"/>
      <c r="E107" s="21"/>
      <c r="F107" s="20"/>
      <c r="G107" s="21"/>
      <c r="H107" s="22"/>
      <c r="I107" s="23"/>
      <c r="J107" s="24"/>
      <c r="K107" s="23"/>
      <c r="L107" s="24"/>
      <c r="M107" s="23"/>
      <c r="N107" s="129"/>
    </row>
    <row r="108" spans="2:22" ht="9.9499999999999993" customHeight="1">
      <c r="B108" s="151"/>
      <c r="C108" s="19"/>
      <c r="D108" s="20"/>
      <c r="E108" s="21"/>
      <c r="F108" s="20"/>
      <c r="G108" s="21"/>
      <c r="H108" s="22"/>
      <c r="I108" s="23"/>
      <c r="J108" s="24"/>
      <c r="K108" s="23"/>
      <c r="L108" s="24"/>
      <c r="M108" s="23"/>
      <c r="N108" s="129"/>
      <c r="P108" s="16"/>
      <c r="Q108" s="16"/>
      <c r="R108" s="16"/>
      <c r="S108" s="16"/>
      <c r="T108" s="16"/>
      <c r="U108" s="16"/>
      <c r="V108" s="16"/>
    </row>
    <row r="109" spans="2:22" ht="9.9499999999999993" customHeight="1">
      <c r="B109" s="151"/>
      <c r="C109" s="19"/>
      <c r="D109" s="20"/>
      <c r="E109" s="21"/>
      <c r="F109" s="20"/>
      <c r="G109" s="21"/>
      <c r="H109" s="22"/>
      <c r="I109" s="23"/>
      <c r="J109" s="24"/>
      <c r="K109" s="23"/>
      <c r="L109" s="24"/>
      <c r="M109" s="23"/>
      <c r="N109" s="129"/>
      <c r="P109" s="16"/>
      <c r="Q109" s="16"/>
      <c r="R109" s="16"/>
      <c r="S109" s="16"/>
      <c r="T109" s="16"/>
      <c r="U109" s="16"/>
      <c r="V109" s="16"/>
    </row>
    <row r="110" spans="2:22" ht="9.9499999999999993" customHeight="1">
      <c r="B110" s="151"/>
      <c r="C110" s="19"/>
      <c r="D110" s="20"/>
      <c r="E110" s="21"/>
      <c r="F110" s="20"/>
      <c r="G110" s="21"/>
      <c r="H110" s="22"/>
      <c r="I110" s="23"/>
      <c r="J110" s="24"/>
      <c r="K110" s="23"/>
      <c r="L110" s="24"/>
      <c r="M110" s="23"/>
      <c r="N110" s="129"/>
      <c r="P110" s="16"/>
      <c r="Q110" s="16"/>
      <c r="R110" s="16"/>
      <c r="S110" s="16"/>
      <c r="T110" s="16"/>
      <c r="U110" s="16"/>
      <c r="V110" s="16"/>
    </row>
    <row r="111" spans="2:22" ht="9.9499999999999993" customHeight="1">
      <c r="B111" s="151"/>
      <c r="C111" s="19"/>
      <c r="D111" s="20"/>
      <c r="E111" s="21"/>
      <c r="F111" s="20"/>
      <c r="G111" s="21"/>
      <c r="H111" s="22"/>
      <c r="I111" s="23"/>
      <c r="J111" s="24"/>
      <c r="K111" s="23"/>
      <c r="L111" s="24"/>
      <c r="M111" s="23"/>
      <c r="N111" s="129"/>
      <c r="P111" s="16"/>
      <c r="Q111" s="16"/>
      <c r="R111" s="16"/>
      <c r="S111" s="16"/>
      <c r="T111" s="16"/>
      <c r="U111" s="16"/>
      <c r="V111" s="16"/>
    </row>
    <row r="112" spans="2:22" ht="9.9499999999999993" customHeight="1">
      <c r="B112" s="151"/>
      <c r="C112" s="19"/>
      <c r="D112" s="135"/>
      <c r="E112" s="21"/>
      <c r="F112" s="135"/>
      <c r="G112" s="21"/>
      <c r="H112" s="135"/>
      <c r="I112" s="23"/>
      <c r="J112" s="25"/>
      <c r="K112" s="23"/>
      <c r="L112" s="25"/>
      <c r="M112" s="23"/>
      <c r="N112" s="129"/>
    </row>
    <row r="113" spans="2:22" ht="9.9499999999999993" customHeight="1">
      <c r="B113" s="151"/>
      <c r="C113" s="19"/>
      <c r="D113" s="20"/>
      <c r="E113" s="21"/>
      <c r="F113" s="20"/>
      <c r="G113" s="21"/>
      <c r="H113" s="22"/>
      <c r="I113" s="23"/>
      <c r="J113" s="24"/>
      <c r="K113" s="23"/>
      <c r="L113" s="24"/>
      <c r="M113" s="23"/>
      <c r="N113" s="129"/>
    </row>
    <row r="114" spans="2:22" ht="9.9499999999999993" customHeight="1">
      <c r="B114" s="151"/>
      <c r="C114" s="19"/>
      <c r="D114" s="20"/>
      <c r="E114" s="21"/>
      <c r="F114" s="20"/>
      <c r="G114" s="21"/>
      <c r="H114" s="22"/>
      <c r="I114" s="23"/>
      <c r="J114" s="24"/>
      <c r="K114" s="23"/>
      <c r="L114" s="24"/>
      <c r="M114" s="23"/>
      <c r="N114" s="129"/>
    </row>
    <row r="115" spans="2:22" ht="9.9499999999999993" customHeight="1">
      <c r="B115" s="151"/>
      <c r="C115" s="19"/>
      <c r="D115" s="20"/>
      <c r="E115" s="21"/>
      <c r="F115" s="20"/>
      <c r="G115" s="21"/>
      <c r="H115" s="22"/>
      <c r="I115" s="23"/>
      <c r="J115" s="24"/>
      <c r="K115" s="23"/>
      <c r="L115" s="24"/>
      <c r="M115" s="23"/>
      <c r="N115" s="129"/>
    </row>
    <row r="116" spans="2:22" ht="9.9499999999999993" customHeight="1">
      <c r="B116" s="151"/>
      <c r="C116" s="19"/>
      <c r="D116" s="20"/>
      <c r="E116" s="21"/>
      <c r="F116" s="20"/>
      <c r="G116" s="21"/>
      <c r="H116" s="22"/>
      <c r="I116" s="23"/>
      <c r="J116" s="24"/>
      <c r="K116" s="23"/>
      <c r="L116" s="24"/>
      <c r="M116" s="23"/>
      <c r="N116" s="129"/>
      <c r="P116" s="16"/>
      <c r="Q116" s="16"/>
      <c r="R116" s="16"/>
      <c r="S116" s="16"/>
      <c r="T116" s="16"/>
      <c r="U116" s="16"/>
      <c r="V116" s="16"/>
    </row>
    <row r="117" spans="2:22" ht="9.9499999999999993" customHeight="1">
      <c r="B117" s="151"/>
      <c r="C117" s="19"/>
      <c r="D117" s="20"/>
      <c r="E117" s="21"/>
      <c r="F117" s="20"/>
      <c r="G117" s="21"/>
      <c r="H117" s="22"/>
      <c r="I117" s="23"/>
      <c r="J117" s="24"/>
      <c r="K117" s="23"/>
      <c r="L117" s="24"/>
      <c r="M117" s="23"/>
      <c r="N117" s="129"/>
      <c r="P117" s="16"/>
      <c r="Q117" s="16" t="s">
        <v>1261</v>
      </c>
      <c r="R117" s="16"/>
      <c r="S117" s="16"/>
      <c r="T117" s="16"/>
      <c r="U117" s="16"/>
      <c r="V117" s="16"/>
    </row>
    <row r="118" spans="2:22" ht="9.9499999999999993" customHeight="1">
      <c r="B118" s="151"/>
      <c r="C118" s="19"/>
      <c r="D118" s="20"/>
      <c r="E118" s="21"/>
      <c r="F118" s="20"/>
      <c r="G118" s="21"/>
      <c r="H118" s="22"/>
      <c r="I118" s="23"/>
      <c r="J118" s="24"/>
      <c r="K118" s="23"/>
      <c r="L118" s="24"/>
      <c r="M118" s="23"/>
      <c r="N118" s="129"/>
      <c r="P118" s="16"/>
      <c r="Q118" s="16"/>
      <c r="R118" s="16"/>
      <c r="S118" s="16"/>
      <c r="T118" s="16"/>
      <c r="U118" s="16"/>
      <c r="V118" s="16"/>
    </row>
    <row r="119" spans="2:22" ht="9.9499999999999993" customHeight="1">
      <c r="B119" s="151"/>
      <c r="C119" s="19"/>
      <c r="D119" s="20"/>
      <c r="E119" s="21"/>
      <c r="F119" s="20"/>
      <c r="G119" s="21"/>
      <c r="H119" s="22"/>
      <c r="I119" s="23"/>
      <c r="J119" s="24"/>
      <c r="K119" s="23"/>
      <c r="L119" s="24"/>
      <c r="M119" s="23"/>
      <c r="N119" s="129"/>
      <c r="P119" s="16"/>
      <c r="Q119" s="16"/>
      <c r="R119" s="16"/>
      <c r="S119" s="16"/>
      <c r="T119" s="16"/>
      <c r="U119" s="16"/>
      <c r="V119" s="16"/>
    </row>
    <row r="120" spans="2:22" ht="9.9499999999999993" customHeight="1">
      <c r="B120" s="151"/>
      <c r="C120" s="19"/>
      <c r="D120" s="20"/>
      <c r="E120" s="21"/>
      <c r="F120" s="20"/>
      <c r="G120" s="21"/>
      <c r="H120" s="22"/>
      <c r="I120" s="23"/>
      <c r="J120" s="24"/>
      <c r="K120" s="23"/>
      <c r="L120" s="24"/>
      <c r="M120" s="23"/>
      <c r="N120" s="129"/>
      <c r="P120" s="16"/>
      <c r="Q120" s="16"/>
      <c r="R120" s="16"/>
      <c r="S120" s="16"/>
      <c r="T120" s="16"/>
      <c r="U120" s="16"/>
      <c r="V120" s="16"/>
    </row>
    <row r="121" spans="2:22" ht="9.9499999999999993" customHeight="1">
      <c r="B121" s="151"/>
      <c r="C121" s="19"/>
      <c r="D121" s="20"/>
      <c r="E121" s="21"/>
      <c r="F121" s="20"/>
      <c r="G121" s="21"/>
      <c r="H121" s="22"/>
      <c r="I121" s="23"/>
      <c r="J121" s="24"/>
      <c r="K121" s="23"/>
      <c r="L121" s="24"/>
      <c r="M121" s="23"/>
      <c r="N121" s="129"/>
      <c r="P121" s="16"/>
      <c r="Q121" s="16"/>
      <c r="R121" s="16"/>
      <c r="S121" s="16"/>
      <c r="T121" s="16"/>
      <c r="U121" s="16"/>
      <c r="V121" s="16"/>
    </row>
    <row r="122" spans="2:22" ht="9.9499999999999993" customHeight="1">
      <c r="B122" s="151"/>
      <c r="C122" s="19"/>
      <c r="D122" s="20"/>
      <c r="E122" s="21"/>
      <c r="F122" s="20"/>
      <c r="G122" s="21"/>
      <c r="H122" s="22"/>
      <c r="I122" s="23"/>
      <c r="J122" s="24"/>
      <c r="K122" s="23"/>
      <c r="L122" s="24"/>
      <c r="M122" s="23"/>
      <c r="N122" s="129"/>
      <c r="P122" s="16"/>
      <c r="Q122" s="16"/>
      <c r="R122" s="16"/>
      <c r="S122" s="16"/>
      <c r="T122" s="16"/>
      <c r="U122" s="16"/>
      <c r="V122" s="16"/>
    </row>
    <row r="123" spans="2:22" ht="9.9499999999999993" customHeight="1">
      <c r="B123" s="151"/>
      <c r="C123" s="19"/>
      <c r="D123" s="20"/>
      <c r="E123" s="21"/>
      <c r="F123" s="20"/>
      <c r="G123" s="21"/>
      <c r="H123" s="22"/>
      <c r="I123" s="23"/>
      <c r="J123" s="24"/>
      <c r="K123" s="23"/>
      <c r="L123" s="24"/>
      <c r="M123" s="23"/>
      <c r="N123" s="129"/>
      <c r="P123" s="16"/>
      <c r="Q123" s="16"/>
      <c r="R123" s="16"/>
      <c r="S123" s="16"/>
      <c r="T123" s="16"/>
      <c r="U123" s="16"/>
      <c r="V123" s="16"/>
    </row>
    <row r="124" spans="2:22" ht="9.9499999999999993" customHeight="1">
      <c r="B124" s="151"/>
      <c r="C124" s="19"/>
      <c r="D124" s="20"/>
      <c r="E124" s="21"/>
      <c r="F124" s="20"/>
      <c r="G124" s="21"/>
      <c r="H124" s="22"/>
      <c r="I124" s="23"/>
      <c r="J124" s="24"/>
      <c r="K124" s="23"/>
      <c r="L124" s="24"/>
      <c r="M124" s="23"/>
      <c r="N124" s="129"/>
    </row>
    <row r="125" spans="2:22" ht="9.9499999999999993" customHeight="1">
      <c r="B125" s="151"/>
      <c r="C125" s="19"/>
      <c r="D125" s="20"/>
      <c r="E125" s="21"/>
      <c r="F125" s="20"/>
      <c r="G125" s="21"/>
      <c r="H125" s="22"/>
      <c r="I125" s="23"/>
      <c r="J125" s="24"/>
      <c r="K125" s="23"/>
      <c r="L125" s="24"/>
      <c r="M125" s="23"/>
      <c r="N125" s="129"/>
    </row>
    <row r="126" spans="2:22" ht="9.9499999999999993" customHeight="1">
      <c r="B126" s="151"/>
      <c r="C126" s="19"/>
      <c r="D126" s="20"/>
      <c r="E126" s="21"/>
      <c r="F126" s="20"/>
      <c r="G126" s="21"/>
      <c r="H126" s="22"/>
      <c r="I126" s="23"/>
      <c r="J126" s="24"/>
      <c r="K126" s="23"/>
      <c r="L126" s="24"/>
      <c r="M126" s="23"/>
      <c r="N126" s="129"/>
    </row>
    <row r="127" spans="2:22" ht="9.9499999999999993" customHeight="1">
      <c r="B127" s="151"/>
      <c r="C127" s="19"/>
      <c r="D127" s="20"/>
      <c r="E127" s="21"/>
      <c r="F127" s="20"/>
      <c r="G127" s="21"/>
      <c r="H127" s="22"/>
      <c r="I127" s="23"/>
      <c r="J127" s="24"/>
      <c r="K127" s="23"/>
      <c r="L127" s="24"/>
      <c r="M127" s="23"/>
      <c r="N127" s="129"/>
    </row>
    <row r="128" spans="2:22" ht="9.9499999999999993" customHeight="1">
      <c r="B128" s="151"/>
      <c r="C128" s="19"/>
      <c r="D128" s="20"/>
      <c r="E128" s="21"/>
      <c r="F128" s="20"/>
      <c r="G128" s="21"/>
      <c r="H128" s="22"/>
      <c r="I128" s="23"/>
      <c r="J128" s="24"/>
      <c r="K128" s="23"/>
      <c r="L128" s="24"/>
      <c r="M128" s="23"/>
      <c r="N128" s="129"/>
    </row>
    <row r="129" spans="2:14" ht="9.9499999999999993" customHeight="1">
      <c r="B129" s="151"/>
      <c r="C129" s="19"/>
      <c r="D129" s="20"/>
      <c r="E129" s="21"/>
      <c r="F129" s="20"/>
      <c r="G129" s="21"/>
      <c r="H129" s="22"/>
      <c r="I129" s="23"/>
      <c r="J129" s="24"/>
      <c r="K129" s="23"/>
      <c r="L129" s="24"/>
      <c r="M129" s="23"/>
      <c r="N129" s="129"/>
    </row>
    <row r="130" spans="2:14" ht="9.9499999999999993" customHeight="1">
      <c r="B130" s="151"/>
      <c r="C130" s="19"/>
      <c r="D130" s="20"/>
      <c r="E130" s="21"/>
      <c r="F130" s="20"/>
      <c r="G130" s="21"/>
      <c r="H130" s="22"/>
      <c r="I130" s="23"/>
      <c r="J130" s="24"/>
      <c r="K130" s="23"/>
      <c r="L130" s="24"/>
      <c r="M130" s="23"/>
      <c r="N130" s="129"/>
    </row>
    <row r="131" spans="2:14" ht="9.9499999999999993" customHeight="1">
      <c r="B131" s="151"/>
      <c r="C131" s="19"/>
      <c r="D131" s="20"/>
      <c r="E131" s="21"/>
      <c r="F131" s="20"/>
      <c r="G131" s="21"/>
      <c r="H131" s="22"/>
      <c r="I131" s="23"/>
      <c r="J131" s="24"/>
      <c r="K131" s="23"/>
      <c r="L131" s="24"/>
      <c r="M131" s="23"/>
      <c r="N131" s="129"/>
    </row>
    <row r="132" spans="2:14" ht="9.9499999999999993" customHeight="1">
      <c r="B132" s="151"/>
      <c r="C132" s="19"/>
      <c r="D132" s="20"/>
      <c r="E132" s="21"/>
      <c r="F132" s="20"/>
      <c r="G132" s="21"/>
      <c r="H132" s="22"/>
      <c r="I132" s="23"/>
      <c r="J132" s="24"/>
      <c r="K132" s="23"/>
      <c r="L132" s="24"/>
      <c r="M132" s="23"/>
      <c r="N132" s="129"/>
    </row>
    <row r="133" spans="2:14" ht="9.9499999999999993" customHeight="1">
      <c r="B133" s="151"/>
      <c r="C133" s="19"/>
      <c r="D133" s="20"/>
      <c r="E133" s="21"/>
      <c r="F133" s="20"/>
      <c r="G133" s="21"/>
      <c r="H133" s="22"/>
      <c r="I133" s="23"/>
      <c r="J133" s="24"/>
      <c r="K133" s="23"/>
      <c r="L133" s="24"/>
      <c r="M133" s="23"/>
      <c r="N133" s="129"/>
    </row>
    <row r="134" spans="2:14" ht="9.9499999999999993" customHeight="1">
      <c r="B134" s="151"/>
      <c r="C134" s="19"/>
      <c r="D134" s="20"/>
      <c r="E134" s="21"/>
      <c r="F134" s="20"/>
      <c r="G134" s="21"/>
      <c r="H134" s="22"/>
      <c r="I134" s="23"/>
      <c r="J134" s="24"/>
      <c r="K134" s="23"/>
      <c r="L134" s="24"/>
      <c r="M134" s="23"/>
      <c r="N134" s="129"/>
    </row>
    <row r="135" spans="2:14" ht="9.9499999999999993" customHeight="1">
      <c r="B135" s="151"/>
      <c r="C135" s="19"/>
      <c r="D135" s="20"/>
      <c r="E135" s="21"/>
      <c r="F135" s="20"/>
      <c r="G135" s="21"/>
      <c r="H135" s="22"/>
      <c r="I135" s="23"/>
      <c r="J135" s="24"/>
      <c r="K135" s="23"/>
      <c r="L135" s="24"/>
      <c r="M135" s="23"/>
      <c r="N135" s="129"/>
    </row>
    <row r="136" spans="2:14" ht="9.9499999999999993" customHeight="1">
      <c r="B136" s="151"/>
      <c r="C136" s="19"/>
      <c r="D136" s="20"/>
      <c r="E136" s="21"/>
      <c r="F136" s="20"/>
      <c r="G136" s="21"/>
      <c r="H136" s="22"/>
      <c r="I136" s="23"/>
      <c r="J136" s="24"/>
      <c r="K136" s="23"/>
      <c r="L136" s="24"/>
      <c r="M136" s="23"/>
      <c r="N136" s="129"/>
    </row>
    <row r="137" spans="2:14" ht="9.9499999999999993" customHeight="1">
      <c r="B137" s="151"/>
      <c r="C137" s="19"/>
      <c r="D137" s="20"/>
      <c r="E137" s="21"/>
      <c r="F137" s="20"/>
      <c r="G137" s="21"/>
      <c r="H137" s="22"/>
      <c r="I137" s="23"/>
      <c r="J137" s="24"/>
      <c r="K137" s="23"/>
      <c r="L137" s="24"/>
      <c r="M137" s="23"/>
      <c r="N137" s="129"/>
    </row>
    <row r="138" spans="2:14" ht="9.9499999999999993" customHeight="1">
      <c r="B138" s="151"/>
      <c r="C138" s="19"/>
      <c r="D138" s="20"/>
      <c r="E138" s="21"/>
      <c r="F138" s="20"/>
      <c r="G138" s="21"/>
      <c r="H138" s="22"/>
      <c r="I138" s="23"/>
      <c r="J138" s="24"/>
      <c r="K138" s="23"/>
      <c r="L138" s="24"/>
      <c r="M138" s="23"/>
      <c r="N138" s="129"/>
    </row>
    <row r="139" spans="2:14" ht="9.9499999999999993" customHeight="1">
      <c r="B139" s="151"/>
      <c r="C139" s="19"/>
      <c r="D139" s="20"/>
      <c r="E139" s="21"/>
      <c r="F139" s="20"/>
      <c r="G139" s="21"/>
      <c r="H139" s="22"/>
      <c r="I139" s="23"/>
      <c r="J139" s="24"/>
      <c r="K139" s="23"/>
      <c r="L139" s="24"/>
      <c r="M139" s="23"/>
      <c r="N139" s="129"/>
    </row>
    <row r="140" spans="2:14" ht="9.9499999999999993" customHeight="1">
      <c r="B140" s="151"/>
      <c r="C140" s="19"/>
      <c r="D140" s="20"/>
      <c r="E140" s="21"/>
      <c r="F140" s="20"/>
      <c r="G140" s="21"/>
      <c r="H140" s="22"/>
      <c r="I140" s="23"/>
      <c r="J140" s="24"/>
      <c r="K140" s="23"/>
      <c r="L140" s="24"/>
      <c r="M140" s="23"/>
      <c r="N140" s="129"/>
    </row>
    <row r="141" spans="2:14" ht="9.9499999999999993" customHeight="1">
      <c r="B141" s="151"/>
      <c r="C141" s="19"/>
      <c r="D141" s="20"/>
      <c r="E141" s="21"/>
      <c r="F141" s="20"/>
      <c r="G141" s="21"/>
      <c r="H141" s="22"/>
      <c r="I141" s="23"/>
      <c r="J141" s="24"/>
      <c r="K141" s="23"/>
      <c r="L141" s="24"/>
      <c r="M141" s="23"/>
      <c r="N141" s="129"/>
    </row>
    <row r="142" spans="2:14" ht="9.9499999999999993" customHeight="1">
      <c r="B142" s="151"/>
      <c r="C142" s="19"/>
      <c r="D142" s="20"/>
      <c r="E142" s="21"/>
      <c r="F142" s="20"/>
      <c r="G142" s="21"/>
      <c r="H142" s="22"/>
      <c r="I142" s="23"/>
      <c r="J142" s="24"/>
      <c r="K142" s="23"/>
      <c r="L142" s="24"/>
      <c r="M142" s="23"/>
      <c r="N142" s="129"/>
    </row>
    <row r="143" spans="2:14" ht="9.9499999999999993" customHeight="1">
      <c r="B143" s="151"/>
      <c r="C143" s="19"/>
      <c r="D143" s="20"/>
      <c r="E143" s="21"/>
      <c r="F143" s="20"/>
      <c r="G143" s="21"/>
      <c r="H143" s="22"/>
      <c r="I143" s="23"/>
      <c r="J143" s="24"/>
      <c r="K143" s="23"/>
      <c r="L143" s="24"/>
      <c r="M143" s="23"/>
      <c r="N143" s="129"/>
    </row>
    <row r="144" spans="2:14" ht="9.9499999999999993" customHeight="1">
      <c r="B144" s="151"/>
      <c r="C144" s="19"/>
      <c r="D144" s="20"/>
      <c r="E144" s="21"/>
      <c r="F144" s="20"/>
      <c r="G144" s="21"/>
      <c r="H144" s="22"/>
      <c r="I144" s="23"/>
      <c r="J144" s="24"/>
      <c r="K144" s="23"/>
      <c r="L144" s="24"/>
      <c r="M144" s="23"/>
      <c r="N144" s="129"/>
    </row>
    <row r="145" spans="2:18" ht="9.9499999999999993" customHeight="1">
      <c r="B145" s="151"/>
      <c r="C145" s="19"/>
      <c r="D145" s="20"/>
      <c r="E145" s="21"/>
      <c r="F145" s="20"/>
      <c r="G145" s="21"/>
      <c r="H145" s="22"/>
      <c r="I145" s="23"/>
      <c r="J145" s="24"/>
      <c r="K145" s="23"/>
      <c r="L145" s="24"/>
      <c r="M145" s="23"/>
      <c r="N145" s="129"/>
    </row>
    <row r="146" spans="2:18" ht="9.9499999999999993" customHeight="1">
      <c r="B146" s="151"/>
      <c r="C146" s="19"/>
      <c r="D146" s="20"/>
      <c r="E146" s="21"/>
      <c r="F146" s="20"/>
      <c r="G146" s="21"/>
      <c r="H146" s="22"/>
      <c r="I146" s="23"/>
      <c r="J146" s="24"/>
      <c r="K146" s="23"/>
      <c r="L146" s="24"/>
      <c r="M146" s="23"/>
      <c r="N146" s="129"/>
    </row>
    <row r="147" spans="2:18" ht="9.9499999999999993" customHeight="1">
      <c r="B147" s="151"/>
      <c r="C147" s="19"/>
      <c r="D147" s="20"/>
      <c r="E147" s="21"/>
      <c r="F147" s="20"/>
      <c r="G147" s="21"/>
      <c r="H147" s="22"/>
      <c r="I147" s="23"/>
      <c r="J147" s="24"/>
      <c r="K147" s="23"/>
      <c r="L147" s="24"/>
      <c r="M147" s="23"/>
      <c r="N147" s="129"/>
    </row>
    <row r="148" spans="2:18" ht="9.9499999999999993" customHeight="1">
      <c r="B148" s="151"/>
      <c r="C148" s="19"/>
      <c r="D148" s="20"/>
      <c r="E148" s="21"/>
      <c r="F148" s="20"/>
      <c r="G148" s="21"/>
      <c r="H148" s="22"/>
      <c r="I148" s="23"/>
      <c r="J148" s="24"/>
      <c r="K148" s="23"/>
      <c r="L148" s="24"/>
      <c r="M148" s="23"/>
      <c r="N148" s="129"/>
    </row>
    <row r="149" spans="2:18" ht="9.9499999999999993" customHeight="1">
      <c r="B149" s="151"/>
      <c r="C149" s="19"/>
      <c r="D149" s="20"/>
      <c r="E149" s="21"/>
      <c r="F149" s="20"/>
      <c r="G149" s="21"/>
      <c r="H149" s="22"/>
      <c r="I149" s="23"/>
      <c r="J149" s="24"/>
      <c r="K149" s="23"/>
      <c r="L149" s="24"/>
      <c r="M149" s="23"/>
      <c r="N149" s="129"/>
    </row>
    <row r="150" spans="2:18" ht="9.9499999999999993" customHeight="1">
      <c r="B150" s="151"/>
      <c r="C150" s="19"/>
      <c r="D150" s="20"/>
      <c r="E150" s="21"/>
      <c r="F150" s="20"/>
      <c r="G150" s="21"/>
      <c r="H150" s="22"/>
      <c r="I150" s="23"/>
      <c r="J150" s="24"/>
      <c r="K150" s="23"/>
      <c r="L150" s="24"/>
      <c r="M150" s="23"/>
      <c r="N150" s="129"/>
    </row>
    <row r="151" spans="2:18" ht="9.9499999999999993" customHeight="1">
      <c r="B151" s="151"/>
      <c r="C151" s="19"/>
      <c r="D151" s="20"/>
      <c r="E151" s="21"/>
      <c r="F151" s="20"/>
      <c r="G151" s="21"/>
      <c r="H151" s="20"/>
      <c r="I151" s="23"/>
      <c r="J151" s="24"/>
      <c r="K151" s="23"/>
      <c r="L151" s="24"/>
      <c r="M151" s="23"/>
      <c r="N151" s="129"/>
    </row>
    <row r="152" spans="2:18" ht="9.9499999999999993" customHeight="1">
      <c r="B152" s="151"/>
      <c r="C152" s="19"/>
      <c r="D152" s="20"/>
      <c r="E152" s="21"/>
      <c r="F152" s="20"/>
      <c r="G152" s="21"/>
      <c r="H152" s="20"/>
      <c r="I152" s="23"/>
      <c r="J152" s="24"/>
      <c r="K152" s="23"/>
      <c r="L152" s="24"/>
      <c r="M152" s="23"/>
      <c r="N152" s="129"/>
    </row>
    <row r="153" spans="2:18" ht="9.9499999999999993" customHeight="1">
      <c r="B153" s="151"/>
      <c r="C153" s="19"/>
      <c r="D153" s="20"/>
      <c r="E153" s="21"/>
      <c r="F153" s="20"/>
      <c r="G153" s="21"/>
      <c r="H153" s="20"/>
      <c r="I153" s="23"/>
      <c r="J153" s="24"/>
      <c r="K153" s="23"/>
      <c r="L153" s="24"/>
      <c r="M153" s="23"/>
      <c r="N153" s="129"/>
    </row>
    <row r="154" spans="2:18" ht="9.9499999999999993" customHeight="1">
      <c r="B154" s="151"/>
      <c r="C154" s="19"/>
      <c r="D154" s="20"/>
      <c r="E154" s="21"/>
      <c r="F154" s="20"/>
      <c r="G154" s="21"/>
      <c r="H154" s="20"/>
      <c r="I154" s="23"/>
      <c r="J154" s="24"/>
      <c r="K154" s="23"/>
      <c r="L154" s="24"/>
      <c r="M154" s="23"/>
      <c r="N154" s="129"/>
    </row>
    <row r="155" spans="2:18" ht="9.9499999999999993" customHeight="1">
      <c r="B155" s="151"/>
      <c r="C155" s="19"/>
      <c r="D155" s="20"/>
      <c r="E155" s="21"/>
      <c r="F155" s="20"/>
      <c r="G155" s="21"/>
      <c r="H155" s="20"/>
      <c r="I155" s="23"/>
      <c r="J155" s="24"/>
      <c r="K155" s="23"/>
      <c r="L155" s="24"/>
      <c r="M155" s="23"/>
      <c r="N155" s="129"/>
    </row>
    <row r="156" spans="2:18" ht="9.9499999999999993" customHeight="1">
      <c r="B156" s="151"/>
      <c r="C156" s="19"/>
      <c r="D156" s="20"/>
      <c r="E156" s="21"/>
      <c r="F156" s="20"/>
      <c r="G156" s="21"/>
      <c r="H156" s="20"/>
      <c r="I156" s="23"/>
      <c r="J156" s="24"/>
      <c r="K156" s="23"/>
      <c r="L156" s="24"/>
      <c r="M156" s="23"/>
      <c r="N156" s="129"/>
    </row>
    <row r="157" spans="2:18" ht="9.9499999999999993" customHeight="1">
      <c r="B157" s="151"/>
      <c r="C157" s="19"/>
      <c r="D157" s="20"/>
      <c r="E157" s="21"/>
      <c r="F157" s="20"/>
      <c r="G157" s="21"/>
      <c r="H157" s="20"/>
      <c r="I157" s="23"/>
      <c r="J157" s="24"/>
      <c r="K157" s="23"/>
      <c r="L157" s="24"/>
      <c r="M157" s="23"/>
      <c r="N157" s="129"/>
    </row>
    <row r="158" spans="2:18" ht="9.9499999999999993" customHeight="1">
      <c r="B158" s="151"/>
      <c r="C158" s="19"/>
      <c r="D158" s="20"/>
      <c r="E158" s="21"/>
      <c r="F158" s="20"/>
      <c r="G158" s="21"/>
      <c r="H158" s="20"/>
      <c r="I158" s="23"/>
      <c r="J158" s="24"/>
      <c r="K158" s="23"/>
      <c r="L158" s="24"/>
      <c r="M158" s="23"/>
      <c r="N158" s="129"/>
    </row>
    <row r="159" spans="2:18" ht="9.9499999999999993" customHeight="1" thickBot="1">
      <c r="B159" s="153"/>
      <c r="C159" s="136"/>
      <c r="D159" s="131"/>
      <c r="E159" s="130"/>
      <c r="F159" s="131"/>
      <c r="G159" s="130"/>
      <c r="H159" s="131"/>
      <c r="I159" s="132"/>
      <c r="J159" s="133"/>
      <c r="K159" s="132"/>
      <c r="L159" s="133"/>
      <c r="M159" s="132"/>
      <c r="N159" s="134"/>
    </row>
    <row r="160" spans="2:18" ht="9.9499999999999993" customHeight="1">
      <c r="D160" s="14">
        <f>SUMPRODUCT((C3:C159=T11)*(D3:D159))</f>
        <v>0</v>
      </c>
      <c r="E160" s="27"/>
      <c r="F160" s="14">
        <f>SUMPRODUCT((E3:E159=T11)*(F3:F159))</f>
        <v>0</v>
      </c>
      <c r="G160" s="27"/>
      <c r="H160" s="14">
        <f>SUMPRODUCT((G3:G159=T11)*(H3:H159))</f>
        <v>0</v>
      </c>
      <c r="I160" s="27"/>
      <c r="J160" s="15">
        <f>SUMPRODUCT((I3:I159=T11)*(J3:J159))</f>
        <v>0</v>
      </c>
      <c r="K160" s="27"/>
      <c r="L160" s="15">
        <f>SUMPRODUCT((K3:K159=T11)*(L3:L159))</f>
        <v>0</v>
      </c>
      <c r="M160" s="27"/>
      <c r="N160" s="15">
        <f>SUMPRODUCT((M3:M159=T11)*(N3:N159))</f>
        <v>0</v>
      </c>
      <c r="Q160" s="16"/>
      <c r="R160" s="16"/>
    </row>
    <row r="161" spans="2:25" ht="9.9499999999999993" customHeight="1" thickBot="1"/>
    <row r="162" spans="2:25" ht="35.1" customHeight="1" thickBot="1">
      <c r="B162" s="505">
        <v>2016</v>
      </c>
      <c r="C162" s="506"/>
      <c r="D162" s="506"/>
      <c r="E162" s="506"/>
      <c r="F162" s="506"/>
      <c r="G162" s="506"/>
      <c r="H162" s="506"/>
      <c r="I162" s="506"/>
      <c r="J162" s="506"/>
      <c r="K162" s="506"/>
      <c r="L162" s="506"/>
      <c r="M162" s="506"/>
      <c r="N162" s="507"/>
      <c r="P162" s="108" t="s">
        <v>1258</v>
      </c>
      <c r="Q162" s="29" t="s">
        <v>1259</v>
      </c>
      <c r="R162" s="29">
        <v>2016</v>
      </c>
      <c r="S162" s="159"/>
      <c r="T162" s="159"/>
      <c r="U162" s="159"/>
      <c r="V162" s="159"/>
      <c r="W162" s="159"/>
      <c r="X162" s="159"/>
    </row>
    <row r="163" spans="2:25" ht="9.9499999999999993" customHeight="1">
      <c r="B163" s="162">
        <v>42373</v>
      </c>
      <c r="C163" s="119"/>
      <c r="D163" s="118"/>
      <c r="E163" s="119" t="s">
        <v>1299</v>
      </c>
      <c r="F163" s="118">
        <v>1</v>
      </c>
      <c r="G163" s="119"/>
      <c r="H163" s="118"/>
      <c r="I163" s="120"/>
      <c r="J163" s="121"/>
      <c r="K163" s="120"/>
      <c r="L163" s="121"/>
      <c r="M163" s="120"/>
      <c r="N163" s="164"/>
      <c r="O163" s="172" t="s">
        <v>828</v>
      </c>
      <c r="P163" s="109">
        <f>SUM(D163:D282)+SUM(F163:F282)+SUM(H163:H282)</f>
        <v>339.5</v>
      </c>
      <c r="Q163" s="14">
        <v>45</v>
      </c>
      <c r="R163" s="30">
        <f>P163*Q163</f>
        <v>15277.5</v>
      </c>
      <c r="S163" s="159"/>
      <c r="T163" s="159"/>
      <c r="U163" s="159"/>
      <c r="V163" s="159"/>
      <c r="W163" s="159"/>
      <c r="X163" s="159"/>
    </row>
    <row r="164" spans="2:25" ht="9.9499999999999993" customHeight="1">
      <c r="B164" s="151">
        <v>42374</v>
      </c>
      <c r="C164" s="19"/>
      <c r="D164" s="20"/>
      <c r="E164" s="21"/>
      <c r="F164" s="20"/>
      <c r="G164" s="21"/>
      <c r="H164" s="22"/>
      <c r="I164" s="23"/>
      <c r="J164" s="24"/>
      <c r="K164" s="23"/>
      <c r="L164" s="24"/>
      <c r="M164" s="23"/>
      <c r="N164" s="129"/>
      <c r="O164" s="173" t="s">
        <v>1544</v>
      </c>
      <c r="P164" s="110">
        <f>SUM(J163:J282)+SUM(L163:L282)+SUM(N163:N282)</f>
        <v>123</v>
      </c>
      <c r="Q164" s="15">
        <v>30</v>
      </c>
      <c r="R164" s="31">
        <f>P164*Q164</f>
        <v>3690</v>
      </c>
      <c r="S164" s="159"/>
      <c r="T164" s="159"/>
      <c r="U164" s="159"/>
      <c r="V164" s="159"/>
      <c r="W164" s="159"/>
      <c r="X164" s="159"/>
    </row>
    <row r="165" spans="2:25" ht="9.9499999999999993" customHeight="1">
      <c r="B165" s="151">
        <v>42375</v>
      </c>
      <c r="C165" s="19"/>
      <c r="D165" s="20"/>
      <c r="E165" s="21"/>
      <c r="F165" s="20"/>
      <c r="G165" s="21"/>
      <c r="H165" s="22"/>
      <c r="I165" s="23"/>
      <c r="J165" s="24"/>
      <c r="K165" s="23"/>
      <c r="L165" s="24"/>
      <c r="M165" s="23"/>
      <c r="N165" s="129"/>
      <c r="P165" s="16"/>
      <c r="Q165" s="16"/>
      <c r="R165" s="496">
        <f>R163+R164</f>
        <v>18967.5</v>
      </c>
      <c r="S165" s="159"/>
      <c r="T165" s="159"/>
      <c r="U165" s="159"/>
      <c r="V165" s="159"/>
      <c r="W165" s="159"/>
      <c r="X165" s="159"/>
    </row>
    <row r="166" spans="2:25" ht="9.9499999999999993" customHeight="1">
      <c r="B166" s="151">
        <v>42380</v>
      </c>
      <c r="C166" s="19"/>
      <c r="D166" s="20"/>
      <c r="E166" s="21"/>
      <c r="F166" s="20"/>
      <c r="G166" s="21" t="s">
        <v>1497</v>
      </c>
      <c r="H166" s="22">
        <v>1</v>
      </c>
      <c r="I166" s="23"/>
      <c r="J166" s="24"/>
      <c r="K166" s="23"/>
      <c r="L166" s="24"/>
      <c r="M166" s="23"/>
      <c r="N166" s="129"/>
      <c r="P166" s="16"/>
      <c r="Q166" s="16"/>
      <c r="R166" s="497"/>
      <c r="S166" s="159"/>
      <c r="T166" s="159"/>
      <c r="U166" s="159"/>
      <c r="V166" s="159"/>
      <c r="W166" s="159"/>
      <c r="X166" s="159"/>
    </row>
    <row r="167" spans="2:25" ht="9.9499999999999993" customHeight="1">
      <c r="B167" s="151">
        <v>42384</v>
      </c>
      <c r="C167" s="19"/>
      <c r="D167" s="20"/>
      <c r="E167" s="21"/>
      <c r="F167" s="20"/>
      <c r="G167" s="21"/>
      <c r="H167" s="22"/>
      <c r="I167" s="23"/>
      <c r="J167" s="24"/>
      <c r="K167" s="23"/>
      <c r="L167" s="24"/>
      <c r="M167" s="23"/>
      <c r="N167" s="129"/>
      <c r="O167" s="498" t="str">
        <f>T11</f>
        <v>volkswagen</v>
      </c>
      <c r="P167" s="47"/>
      <c r="S167" s="159"/>
      <c r="T167" s="159"/>
      <c r="U167" s="159"/>
      <c r="V167" s="159"/>
      <c r="W167" s="159"/>
      <c r="X167" s="159"/>
    </row>
    <row r="168" spans="2:25" ht="9.9499999999999993" customHeight="1">
      <c r="B168" s="151">
        <v>42387</v>
      </c>
      <c r="C168" s="19" t="s">
        <v>1255</v>
      </c>
      <c r="D168" s="20">
        <v>1.5</v>
      </c>
      <c r="E168" s="21" t="s">
        <v>1248</v>
      </c>
      <c r="F168" s="20">
        <v>1.5</v>
      </c>
      <c r="G168" s="21"/>
      <c r="H168" s="22"/>
      <c r="I168" s="23"/>
      <c r="J168" s="24"/>
      <c r="K168" s="23"/>
      <c r="L168" s="24"/>
      <c r="M168" s="23"/>
      <c r="N168" s="129"/>
      <c r="O168" s="499"/>
      <c r="P168" s="47"/>
      <c r="S168" s="159"/>
      <c r="T168" s="159"/>
      <c r="U168" s="159"/>
      <c r="V168" s="159"/>
      <c r="W168" s="159"/>
      <c r="X168" s="159"/>
    </row>
    <row r="169" spans="2:25" ht="9.9499999999999993" customHeight="1">
      <c r="B169" s="151">
        <v>42388</v>
      </c>
      <c r="C169" s="19"/>
      <c r="D169" s="20"/>
      <c r="E169" s="21" t="s">
        <v>1255</v>
      </c>
      <c r="F169" s="20">
        <v>3</v>
      </c>
      <c r="G169" s="21" t="s">
        <v>1248</v>
      </c>
      <c r="H169" s="22">
        <v>0.75</v>
      </c>
      <c r="I169" s="23"/>
      <c r="J169" s="24"/>
      <c r="K169" s="23"/>
      <c r="L169" s="24"/>
      <c r="M169" s="23"/>
      <c r="N169" s="129"/>
      <c r="P169" s="16"/>
      <c r="S169" s="159"/>
      <c r="T169" s="159"/>
      <c r="U169" s="159"/>
      <c r="V169" s="159"/>
      <c r="W169" s="159"/>
      <c r="X169" s="159"/>
    </row>
    <row r="170" spans="2:25" ht="9.9499999999999993" customHeight="1">
      <c r="B170" s="151">
        <v>42389</v>
      </c>
      <c r="C170" s="19"/>
      <c r="D170" s="20"/>
      <c r="E170" s="21"/>
      <c r="F170" s="20"/>
      <c r="G170" s="21"/>
      <c r="H170" s="22"/>
      <c r="I170" s="23"/>
      <c r="J170" s="24"/>
      <c r="K170" s="23"/>
      <c r="L170" s="24"/>
      <c r="M170" s="23"/>
      <c r="N170" s="129"/>
      <c r="O170" s="172" t="s">
        <v>828</v>
      </c>
      <c r="P170" s="109">
        <f>SUM(D283+F283+H283)</f>
        <v>64.5</v>
      </c>
      <c r="Q170" s="14">
        <f>Q163</f>
        <v>45</v>
      </c>
      <c r="R170" s="14">
        <f>P170*Q170</f>
        <v>2902.5</v>
      </c>
      <c r="S170" s="159"/>
      <c r="T170" s="159"/>
      <c r="U170" s="159"/>
      <c r="V170" s="159"/>
      <c r="W170" s="159"/>
      <c r="X170" s="159"/>
    </row>
    <row r="171" spans="2:25" ht="9.9499999999999993" customHeight="1">
      <c r="B171" s="151">
        <v>42390</v>
      </c>
      <c r="C171" s="19"/>
      <c r="D171" s="20"/>
      <c r="E171" s="21"/>
      <c r="F171" s="20"/>
      <c r="G171" s="21"/>
      <c r="H171" s="22"/>
      <c r="I171" s="23"/>
      <c r="J171" s="24"/>
      <c r="K171" s="23"/>
      <c r="L171" s="24"/>
      <c r="M171" s="23"/>
      <c r="N171" s="129"/>
      <c r="O171" s="173" t="s">
        <v>1544</v>
      </c>
      <c r="P171" s="111">
        <f>SUM(J283+L283+N283)</f>
        <v>42.5</v>
      </c>
      <c r="Q171" s="17">
        <f>Q164</f>
        <v>30</v>
      </c>
      <c r="R171" s="17">
        <f>P171*Q171</f>
        <v>1275</v>
      </c>
      <c r="S171" s="159"/>
      <c r="T171" s="159"/>
      <c r="U171" s="159"/>
      <c r="V171" s="159"/>
      <c r="W171" s="159"/>
      <c r="X171" s="159"/>
    </row>
    <row r="172" spans="2:25" ht="9.9499999999999993" customHeight="1">
      <c r="B172" s="151">
        <v>42391</v>
      </c>
      <c r="C172" s="19"/>
      <c r="D172" s="20"/>
      <c r="E172" s="21"/>
      <c r="F172" s="20"/>
      <c r="G172" s="21"/>
      <c r="H172" s="22"/>
      <c r="I172" s="23"/>
      <c r="J172" s="24"/>
      <c r="K172" s="23"/>
      <c r="L172" s="24"/>
      <c r="M172" s="23"/>
      <c r="N172" s="129"/>
      <c r="P172" s="16"/>
      <c r="Q172" s="13"/>
      <c r="R172" s="508">
        <f>R170+R171</f>
        <v>4177.5</v>
      </c>
      <c r="S172" s="159"/>
      <c r="T172" s="159"/>
      <c r="U172" s="159"/>
      <c r="V172" s="159"/>
      <c r="W172" s="159"/>
      <c r="X172" s="159"/>
    </row>
    <row r="173" spans="2:25" ht="9.9499999999999993" customHeight="1">
      <c r="B173" s="151">
        <v>42394</v>
      </c>
      <c r="C173" s="19" t="s">
        <v>1498</v>
      </c>
      <c r="D173" s="20">
        <v>2.5</v>
      </c>
      <c r="E173" s="21"/>
      <c r="F173" s="20"/>
      <c r="G173" s="21" t="s">
        <v>1255</v>
      </c>
      <c r="H173" s="22">
        <v>1.5</v>
      </c>
      <c r="I173" s="23"/>
      <c r="J173" s="24"/>
      <c r="K173" s="23"/>
      <c r="L173" s="24"/>
      <c r="M173" s="23"/>
      <c r="N173" s="129"/>
      <c r="P173" s="16"/>
      <c r="Q173" s="13"/>
      <c r="R173" s="509"/>
      <c r="S173" s="159"/>
      <c r="T173" s="159"/>
      <c r="U173" s="159"/>
      <c r="V173" s="159"/>
      <c r="W173" s="159"/>
      <c r="X173" s="159"/>
    </row>
    <row r="174" spans="2:25" ht="9.9499999999999993" customHeight="1">
      <c r="B174" s="151">
        <v>42395</v>
      </c>
      <c r="C174" s="19"/>
      <c r="D174" s="20"/>
      <c r="E174" s="21"/>
      <c r="F174" s="20"/>
      <c r="G174" s="21"/>
      <c r="H174" s="22"/>
      <c r="I174" s="23"/>
      <c r="J174" s="24"/>
      <c r="K174" s="23"/>
      <c r="L174" s="24"/>
      <c r="M174" s="23"/>
      <c r="N174" s="129"/>
      <c r="P174" s="16"/>
      <c r="Q174" s="13"/>
      <c r="R174" s="13"/>
      <c r="S174" s="159"/>
      <c r="T174" s="159"/>
      <c r="U174" s="159"/>
      <c r="V174" s="159"/>
      <c r="W174" s="159"/>
      <c r="X174" s="159"/>
    </row>
    <row r="175" spans="2:25" ht="9.9499999999999993" customHeight="1">
      <c r="B175" s="151">
        <v>42396</v>
      </c>
      <c r="C175" s="19"/>
      <c r="D175" s="20"/>
      <c r="E175" s="21" t="s">
        <v>1248</v>
      </c>
      <c r="F175" s="20">
        <v>2</v>
      </c>
      <c r="G175" s="21"/>
      <c r="H175" s="22"/>
      <c r="I175" s="23"/>
      <c r="J175" s="24"/>
      <c r="K175" s="23"/>
      <c r="L175" s="24"/>
      <c r="M175" s="23"/>
      <c r="N175" s="129"/>
      <c r="P175" s="16"/>
      <c r="Q175" s="13"/>
      <c r="R175" s="13"/>
      <c r="S175" s="32"/>
      <c r="T175" s="32"/>
      <c r="U175" s="32"/>
    </row>
    <row r="176" spans="2:25" ht="9.9499999999999993" customHeight="1">
      <c r="B176" s="151">
        <v>42397</v>
      </c>
      <c r="C176" s="19" t="s">
        <v>1248</v>
      </c>
      <c r="D176" s="20">
        <v>8</v>
      </c>
      <c r="E176" s="21"/>
      <c r="F176" s="20"/>
      <c r="G176" s="21"/>
      <c r="H176" s="22"/>
      <c r="I176" s="23"/>
      <c r="J176" s="24"/>
      <c r="K176" s="23"/>
      <c r="L176" s="24"/>
      <c r="M176" s="23"/>
      <c r="N176" s="129"/>
      <c r="S176" s="50"/>
      <c r="T176" s="50"/>
      <c r="U176" s="50"/>
      <c r="V176" s="50"/>
      <c r="W176" s="50"/>
      <c r="X176" s="50"/>
      <c r="Y176" s="50"/>
    </row>
    <row r="177" spans="2:25" ht="9.9499999999999993" customHeight="1">
      <c r="B177" s="151">
        <v>42398</v>
      </c>
      <c r="C177" s="19" t="s">
        <v>1248</v>
      </c>
      <c r="D177" s="20">
        <v>4</v>
      </c>
      <c r="E177" s="21"/>
      <c r="F177" s="20"/>
      <c r="G177" s="21"/>
      <c r="H177" s="22"/>
      <c r="I177" s="23"/>
      <c r="J177" s="24"/>
      <c r="K177" s="23"/>
      <c r="L177" s="24"/>
      <c r="M177" s="23"/>
      <c r="N177" s="129"/>
      <c r="S177" s="50"/>
      <c r="T177" s="50"/>
      <c r="U177" s="50"/>
      <c r="V177" s="50"/>
      <c r="W177" s="50"/>
      <c r="X177" s="50"/>
      <c r="Y177" s="50"/>
    </row>
    <row r="178" spans="2:25" ht="9.9499999999999993" customHeight="1">
      <c r="B178" s="151">
        <v>42409</v>
      </c>
      <c r="C178" s="19" t="s">
        <v>1297</v>
      </c>
      <c r="D178" s="20">
        <v>8</v>
      </c>
      <c r="E178" s="21"/>
      <c r="F178" s="20"/>
      <c r="G178" s="21"/>
      <c r="H178" s="22"/>
      <c r="I178" s="23"/>
      <c r="J178" s="24"/>
      <c r="K178" s="23"/>
      <c r="L178" s="24"/>
      <c r="M178" s="23"/>
      <c r="N178" s="129"/>
      <c r="S178" s="51"/>
      <c r="T178" s="51"/>
      <c r="U178" s="51"/>
      <c r="V178" s="51"/>
      <c r="W178" s="51"/>
      <c r="X178" s="51"/>
      <c r="Y178" s="51"/>
    </row>
    <row r="179" spans="2:25" ht="9.9499999999999993" customHeight="1">
      <c r="B179" s="151">
        <v>42410</v>
      </c>
      <c r="C179" s="19" t="s">
        <v>1297</v>
      </c>
      <c r="D179" s="20">
        <v>8.5</v>
      </c>
      <c r="E179" s="21"/>
      <c r="F179" s="20"/>
      <c r="G179" s="21"/>
      <c r="H179" s="22"/>
      <c r="I179" s="23"/>
      <c r="J179" s="24"/>
      <c r="K179" s="23"/>
      <c r="L179" s="24"/>
      <c r="M179" s="23"/>
      <c r="N179" s="129"/>
      <c r="S179" s="51"/>
      <c r="T179" s="51"/>
      <c r="U179" s="51"/>
      <c r="V179" s="51"/>
      <c r="W179" s="51"/>
      <c r="X179" s="51"/>
      <c r="Y179" s="51"/>
    </row>
    <row r="180" spans="2:25" ht="9.9499999999999993" customHeight="1">
      <c r="B180" s="151">
        <v>42411</v>
      </c>
      <c r="C180" s="19" t="s">
        <v>1297</v>
      </c>
      <c r="D180" s="20">
        <v>10</v>
      </c>
      <c r="E180" s="21"/>
      <c r="F180" s="20"/>
      <c r="G180" s="21"/>
      <c r="H180" s="22"/>
      <c r="I180" s="23"/>
      <c r="J180" s="24"/>
      <c r="K180" s="23"/>
      <c r="L180" s="24"/>
      <c r="M180" s="23"/>
      <c r="N180" s="129"/>
      <c r="S180" s="51"/>
      <c r="T180" s="51"/>
      <c r="U180" s="51"/>
      <c r="V180" s="51"/>
      <c r="W180" s="51"/>
      <c r="X180" s="51"/>
      <c r="Y180" s="51"/>
    </row>
    <row r="181" spans="2:25" ht="9.9499999999999993" customHeight="1">
      <c r="B181" s="151">
        <v>42412</v>
      </c>
      <c r="C181" s="19" t="s">
        <v>1250</v>
      </c>
      <c r="D181" s="20">
        <v>7</v>
      </c>
      <c r="E181" s="21"/>
      <c r="F181" s="20"/>
      <c r="G181" s="21"/>
      <c r="H181" s="22"/>
      <c r="I181" s="23"/>
      <c r="J181" s="24"/>
      <c r="K181" s="23"/>
      <c r="L181" s="24"/>
      <c r="M181" s="23"/>
      <c r="N181" s="129"/>
      <c r="S181" s="51"/>
      <c r="T181" s="51"/>
      <c r="U181" s="51"/>
      <c r="V181" s="51"/>
      <c r="W181" s="51"/>
      <c r="X181" s="51"/>
      <c r="Y181" s="51"/>
    </row>
    <row r="182" spans="2:25" ht="9.9499999999999993" customHeight="1">
      <c r="B182" s="151">
        <v>42416</v>
      </c>
      <c r="C182" s="19"/>
      <c r="D182" s="20"/>
      <c r="E182" s="21"/>
      <c r="F182" s="20"/>
      <c r="G182" s="21"/>
      <c r="H182" s="22"/>
      <c r="I182" s="23"/>
      <c r="J182" s="24"/>
      <c r="K182" s="23"/>
      <c r="L182" s="24"/>
      <c r="M182" s="23"/>
      <c r="N182" s="129"/>
      <c r="S182" s="51"/>
      <c r="T182" s="51"/>
      <c r="U182" s="51"/>
      <c r="V182" s="51"/>
      <c r="W182" s="51"/>
      <c r="X182" s="51"/>
      <c r="Y182" s="51"/>
    </row>
    <row r="183" spans="2:25" ht="9.9499999999999993" customHeight="1">
      <c r="B183" s="151">
        <v>42417</v>
      </c>
      <c r="C183" s="19" t="s">
        <v>1297</v>
      </c>
      <c r="D183" s="20">
        <v>0.75</v>
      </c>
      <c r="E183" s="21"/>
      <c r="F183" s="20"/>
      <c r="G183" s="21"/>
      <c r="H183" s="22"/>
      <c r="I183" s="23"/>
      <c r="J183" s="24"/>
      <c r="K183" s="23"/>
      <c r="L183" s="24"/>
      <c r="M183" s="23"/>
      <c r="N183" s="129"/>
      <c r="S183" s="51"/>
      <c r="T183" s="51"/>
      <c r="U183" s="51"/>
      <c r="V183" s="51"/>
      <c r="W183" s="51"/>
      <c r="X183" s="51"/>
      <c r="Y183" s="51"/>
    </row>
    <row r="184" spans="2:25" ht="9.9499999999999993" customHeight="1">
      <c r="B184" s="151">
        <v>42418</v>
      </c>
      <c r="C184" s="19" t="s">
        <v>1297</v>
      </c>
      <c r="D184" s="20">
        <v>9</v>
      </c>
      <c r="E184" s="21"/>
      <c r="F184" s="20"/>
      <c r="G184" s="21"/>
      <c r="H184" s="22"/>
      <c r="I184" s="23"/>
      <c r="J184" s="24"/>
      <c r="K184" s="23"/>
      <c r="L184" s="24"/>
      <c r="M184" s="23"/>
      <c r="N184" s="129"/>
      <c r="S184" s="51"/>
      <c r="T184" s="51"/>
      <c r="U184" s="51"/>
      <c r="V184" s="51"/>
      <c r="W184" s="51"/>
      <c r="X184" s="51"/>
      <c r="Y184" s="51"/>
    </row>
    <row r="185" spans="2:25" ht="9.9499999999999993" customHeight="1">
      <c r="B185" s="151">
        <v>42419</v>
      </c>
      <c r="C185" s="19" t="s">
        <v>1297</v>
      </c>
      <c r="D185" s="20">
        <v>9</v>
      </c>
      <c r="E185" s="21"/>
      <c r="F185" s="20"/>
      <c r="G185" s="21"/>
      <c r="H185" s="22"/>
      <c r="I185" s="23"/>
      <c r="J185" s="24"/>
      <c r="K185" s="23"/>
      <c r="L185" s="24"/>
      <c r="M185" s="23"/>
      <c r="N185" s="129"/>
      <c r="S185" s="51"/>
      <c r="T185" s="51"/>
      <c r="U185" s="51"/>
      <c r="V185" s="51"/>
      <c r="W185" s="51"/>
      <c r="X185" s="51"/>
      <c r="Y185" s="51"/>
    </row>
    <row r="186" spans="2:25" ht="9.9499999999999993" customHeight="1">
      <c r="B186" s="151">
        <v>42426</v>
      </c>
      <c r="C186" s="19"/>
      <c r="D186" s="20"/>
      <c r="E186" s="21" t="s">
        <v>1506</v>
      </c>
      <c r="F186" s="20">
        <v>0.75</v>
      </c>
      <c r="G186" s="21"/>
      <c r="H186" s="22"/>
      <c r="I186" s="23"/>
      <c r="J186" s="24"/>
      <c r="K186" s="23"/>
      <c r="L186" s="24"/>
      <c r="M186" s="23"/>
      <c r="N186" s="129"/>
      <c r="P186" s="16"/>
      <c r="Q186" s="51"/>
      <c r="R186" s="51"/>
      <c r="S186" s="51"/>
      <c r="T186" s="51"/>
      <c r="U186" s="51"/>
      <c r="V186" s="51"/>
      <c r="W186" s="51"/>
      <c r="X186" s="51"/>
      <c r="Y186" s="51"/>
    </row>
    <row r="187" spans="2:25" ht="9.9499999999999993" customHeight="1">
      <c r="B187" s="151">
        <v>42431</v>
      </c>
      <c r="C187" s="19" t="s">
        <v>1297</v>
      </c>
      <c r="D187" s="20">
        <v>8</v>
      </c>
      <c r="E187" s="21"/>
      <c r="F187" s="20"/>
      <c r="G187" s="21"/>
      <c r="H187" s="22"/>
      <c r="I187" s="23"/>
      <c r="J187" s="24"/>
      <c r="K187" s="23"/>
      <c r="L187" s="24"/>
      <c r="M187" s="23"/>
      <c r="N187" s="129"/>
      <c r="P187" s="16"/>
      <c r="Q187" s="51"/>
      <c r="R187" s="51"/>
      <c r="S187" s="51"/>
      <c r="T187" s="51"/>
      <c r="U187" s="51"/>
      <c r="V187" s="51"/>
      <c r="W187" s="51"/>
      <c r="X187" s="51"/>
      <c r="Y187" s="51"/>
    </row>
    <row r="188" spans="2:25" ht="9.9499999999999993" customHeight="1">
      <c r="B188" s="151">
        <v>42432</v>
      </c>
      <c r="C188" s="19" t="s">
        <v>1297</v>
      </c>
      <c r="D188" s="20">
        <v>8</v>
      </c>
      <c r="E188" s="21"/>
      <c r="F188" s="20"/>
      <c r="G188" s="21"/>
      <c r="H188" s="22"/>
      <c r="I188" s="23"/>
      <c r="J188" s="24"/>
      <c r="K188" s="23"/>
      <c r="L188" s="24"/>
      <c r="M188" s="23"/>
      <c r="N188" s="129"/>
      <c r="P188" s="16"/>
      <c r="Q188" s="51"/>
      <c r="R188" s="51"/>
      <c r="S188" s="51"/>
      <c r="T188" s="51"/>
      <c r="U188" s="51"/>
      <c r="V188" s="51"/>
      <c r="W188" s="51"/>
      <c r="X188" s="51"/>
      <c r="Y188" s="51"/>
    </row>
    <row r="189" spans="2:25" ht="9.9499999999999993" customHeight="1">
      <c r="B189" s="151">
        <v>42433</v>
      </c>
      <c r="C189" s="19" t="s">
        <v>1297</v>
      </c>
      <c r="D189" s="20">
        <v>6.5</v>
      </c>
      <c r="E189" s="21"/>
      <c r="F189" s="20"/>
      <c r="G189" s="21"/>
      <c r="H189" s="22"/>
      <c r="I189" s="23"/>
      <c r="J189" s="24"/>
      <c r="K189" s="23"/>
      <c r="L189" s="24"/>
      <c r="M189" s="23"/>
      <c r="N189" s="129"/>
      <c r="P189" s="16"/>
      <c r="Q189" s="51"/>
      <c r="R189" s="51"/>
      <c r="S189" s="51"/>
      <c r="T189" s="51"/>
      <c r="U189" s="51"/>
      <c r="V189" s="51"/>
      <c r="W189" s="51"/>
      <c r="X189" s="51"/>
      <c r="Y189" s="51"/>
    </row>
    <row r="190" spans="2:25" ht="9.9499999999999993" customHeight="1">
      <c r="B190" s="151">
        <v>42464</v>
      </c>
      <c r="C190" s="19" t="s">
        <v>1250</v>
      </c>
      <c r="D190" s="20">
        <v>8</v>
      </c>
      <c r="E190" s="21"/>
      <c r="F190" s="20"/>
      <c r="G190" s="21"/>
      <c r="H190" s="22"/>
      <c r="I190" s="23"/>
      <c r="J190" s="24"/>
      <c r="K190" s="23"/>
      <c r="L190" s="24"/>
      <c r="M190" s="23"/>
      <c r="N190" s="129"/>
      <c r="P190" s="16"/>
    </row>
    <row r="191" spans="2:25" ht="9.9499999999999993" customHeight="1">
      <c r="B191" s="151">
        <v>42465</v>
      </c>
      <c r="C191" s="19" t="s">
        <v>1250</v>
      </c>
      <c r="D191" s="20">
        <v>8</v>
      </c>
      <c r="E191" s="21"/>
      <c r="F191" s="20"/>
      <c r="G191" s="21"/>
      <c r="H191" s="22"/>
      <c r="I191" s="23"/>
      <c r="J191" s="24"/>
      <c r="K191" s="23"/>
      <c r="L191" s="24"/>
      <c r="M191" s="23"/>
      <c r="N191" s="129"/>
      <c r="P191" s="16"/>
    </row>
    <row r="192" spans="2:25" ht="9.9499999999999993" customHeight="1">
      <c r="B192" s="151">
        <v>42466</v>
      </c>
      <c r="C192" s="19" t="s">
        <v>1250</v>
      </c>
      <c r="D192" s="20">
        <v>8</v>
      </c>
      <c r="E192" s="21"/>
      <c r="F192" s="20"/>
      <c r="G192" s="21"/>
      <c r="H192" s="22"/>
      <c r="I192" s="23"/>
      <c r="J192" s="24"/>
      <c r="K192" s="23"/>
      <c r="L192" s="24"/>
      <c r="M192" s="23"/>
      <c r="N192" s="129"/>
      <c r="P192" s="16"/>
    </row>
    <row r="193" spans="2:16" ht="9.9499999999999993" customHeight="1">
      <c r="B193" s="151">
        <v>42467</v>
      </c>
      <c r="C193" s="19" t="s">
        <v>1250</v>
      </c>
      <c r="D193" s="20">
        <v>8</v>
      </c>
      <c r="E193" s="21"/>
      <c r="F193" s="20"/>
      <c r="G193" s="21"/>
      <c r="H193" s="22"/>
      <c r="I193" s="23"/>
      <c r="J193" s="24"/>
      <c r="K193" s="23"/>
      <c r="L193" s="24"/>
      <c r="M193" s="23"/>
      <c r="N193" s="129"/>
      <c r="P193" s="16"/>
    </row>
    <row r="194" spans="2:16" ht="9.9499999999999993" customHeight="1">
      <c r="B194" s="151">
        <v>42471</v>
      </c>
      <c r="C194" s="19" t="s">
        <v>1250</v>
      </c>
      <c r="D194" s="20">
        <v>8</v>
      </c>
      <c r="E194" s="21"/>
      <c r="F194" s="20"/>
      <c r="G194" s="21"/>
      <c r="H194" s="22"/>
      <c r="I194" s="23"/>
      <c r="J194" s="24"/>
      <c r="K194" s="23"/>
      <c r="L194" s="24"/>
      <c r="M194" s="23"/>
      <c r="N194" s="129"/>
      <c r="P194" s="16"/>
    </row>
    <row r="195" spans="2:16" ht="9.9499999999999993" customHeight="1">
      <c r="B195" s="151">
        <v>42472</v>
      </c>
      <c r="C195" s="19" t="s">
        <v>1250</v>
      </c>
      <c r="D195" s="20">
        <v>8</v>
      </c>
      <c r="E195" s="21"/>
      <c r="F195" s="20"/>
      <c r="G195" s="21"/>
      <c r="H195" s="22"/>
      <c r="I195" s="23"/>
      <c r="J195" s="24"/>
      <c r="K195" s="23"/>
      <c r="L195" s="24"/>
      <c r="M195" s="23"/>
      <c r="N195" s="129"/>
      <c r="P195" s="16"/>
    </row>
    <row r="196" spans="2:16" ht="9.9499999999999993" customHeight="1">
      <c r="B196" s="151">
        <v>42473</v>
      </c>
      <c r="C196" s="19" t="s">
        <v>1250</v>
      </c>
      <c r="D196" s="20">
        <v>6</v>
      </c>
      <c r="E196" s="21"/>
      <c r="F196" s="20"/>
      <c r="G196" s="21"/>
      <c r="H196" s="22"/>
      <c r="I196" s="23"/>
      <c r="J196" s="24"/>
      <c r="K196" s="23"/>
      <c r="L196" s="24"/>
      <c r="M196" s="23"/>
      <c r="N196" s="129"/>
      <c r="P196" s="16"/>
    </row>
    <row r="197" spans="2:16" ht="9.9499999999999993" customHeight="1">
      <c r="B197" s="151">
        <v>42474</v>
      </c>
      <c r="C197" s="19"/>
      <c r="D197" s="20"/>
      <c r="E197" s="21"/>
      <c r="F197" s="20"/>
      <c r="G197" s="21"/>
      <c r="H197" s="22"/>
      <c r="I197" s="23"/>
      <c r="J197" s="24"/>
      <c r="K197" s="23"/>
      <c r="L197" s="24"/>
      <c r="M197" s="23"/>
      <c r="N197" s="129"/>
      <c r="P197" s="16"/>
    </row>
    <row r="198" spans="2:16" ht="9.9499999999999993" customHeight="1">
      <c r="B198" s="151">
        <v>42475</v>
      </c>
      <c r="C198" s="19"/>
      <c r="D198" s="20"/>
      <c r="E198" s="21" t="s">
        <v>1250</v>
      </c>
      <c r="F198" s="20">
        <v>3</v>
      </c>
      <c r="G198" s="21"/>
      <c r="H198" s="22"/>
      <c r="I198" s="23"/>
      <c r="J198" s="24"/>
      <c r="K198" s="23"/>
      <c r="L198" s="24"/>
      <c r="M198" s="23"/>
      <c r="N198" s="129"/>
      <c r="P198" s="16"/>
    </row>
    <row r="199" spans="2:16" ht="9.9499999999999993" customHeight="1">
      <c r="B199" s="151">
        <v>42478</v>
      </c>
      <c r="C199" s="19"/>
      <c r="D199" s="20"/>
      <c r="E199" s="21"/>
      <c r="F199" s="20"/>
      <c r="G199" s="21"/>
      <c r="H199" s="22"/>
      <c r="I199" s="23"/>
      <c r="J199" s="24"/>
      <c r="K199" s="23"/>
      <c r="L199" s="24"/>
      <c r="M199" s="23"/>
      <c r="N199" s="129"/>
      <c r="P199" s="16"/>
    </row>
    <row r="200" spans="2:16" ht="9.9499999999999993" customHeight="1">
      <c r="B200" s="151">
        <v>42479</v>
      </c>
      <c r="C200" s="19" t="s">
        <v>1728</v>
      </c>
      <c r="D200" s="20">
        <v>1</v>
      </c>
      <c r="E200" s="21"/>
      <c r="F200" s="20"/>
      <c r="G200" s="21"/>
      <c r="H200" s="22"/>
      <c r="I200" s="23"/>
      <c r="J200" s="24"/>
      <c r="K200" s="23"/>
      <c r="L200" s="24"/>
      <c r="M200" s="23"/>
      <c r="N200" s="129"/>
      <c r="P200" s="16"/>
    </row>
    <row r="201" spans="2:16" ht="9.9499999999999993" customHeight="1">
      <c r="B201" s="151">
        <v>42480</v>
      </c>
      <c r="C201" s="19" t="s">
        <v>1250</v>
      </c>
      <c r="D201" s="20">
        <v>1.5</v>
      </c>
      <c r="E201" s="21"/>
      <c r="F201" s="20"/>
      <c r="G201" s="21"/>
      <c r="H201" s="22"/>
      <c r="I201" s="23"/>
      <c r="J201" s="24"/>
      <c r="K201" s="23"/>
      <c r="L201" s="24"/>
      <c r="M201" s="23"/>
      <c r="N201" s="129"/>
      <c r="P201" s="16"/>
    </row>
    <row r="202" spans="2:16" ht="9.9499999999999993" customHeight="1">
      <c r="B202" s="151">
        <v>42482</v>
      </c>
      <c r="C202" s="19"/>
      <c r="D202" s="20"/>
      <c r="E202" s="21"/>
      <c r="F202" s="20"/>
      <c r="G202" s="21"/>
      <c r="H202" s="22"/>
      <c r="I202" s="23"/>
      <c r="J202" s="24"/>
      <c r="K202" s="23"/>
      <c r="L202" s="24"/>
      <c r="M202" s="23"/>
      <c r="N202" s="129"/>
      <c r="P202" s="16"/>
    </row>
    <row r="203" spans="2:16" ht="9.9499999999999993" customHeight="1">
      <c r="B203" s="151">
        <v>42485</v>
      </c>
      <c r="C203" s="19"/>
      <c r="D203" s="20"/>
      <c r="E203" s="21"/>
      <c r="F203" s="20"/>
      <c r="G203" s="21" t="s">
        <v>1517</v>
      </c>
      <c r="H203" s="22">
        <v>0.75</v>
      </c>
      <c r="I203" s="23"/>
      <c r="J203" s="24"/>
      <c r="K203" s="23"/>
      <c r="L203" s="24"/>
      <c r="M203" s="23"/>
      <c r="N203" s="129"/>
      <c r="P203" s="16"/>
    </row>
    <row r="204" spans="2:16" ht="9.9499999999999993" customHeight="1">
      <c r="B204" s="151">
        <v>42493</v>
      </c>
      <c r="C204" s="19" t="s">
        <v>1250</v>
      </c>
      <c r="D204" s="20">
        <v>6</v>
      </c>
      <c r="E204" s="21"/>
      <c r="F204" s="20"/>
      <c r="G204" s="21"/>
      <c r="H204" s="22"/>
      <c r="I204" s="23"/>
      <c r="J204" s="24"/>
      <c r="K204" s="23"/>
      <c r="L204" s="24"/>
      <c r="M204" s="23"/>
      <c r="N204" s="129"/>
      <c r="P204" s="16"/>
    </row>
    <row r="205" spans="2:16" ht="9.9499999999999993" customHeight="1">
      <c r="B205" s="151">
        <v>42503</v>
      </c>
      <c r="C205" s="19"/>
      <c r="D205" s="20"/>
      <c r="E205" s="21" t="s">
        <v>1506</v>
      </c>
      <c r="F205" s="20">
        <v>2.5</v>
      </c>
      <c r="G205" s="21"/>
      <c r="H205" s="22"/>
      <c r="I205" s="23"/>
      <c r="J205" s="24"/>
      <c r="K205" s="23"/>
      <c r="L205" s="24"/>
      <c r="M205" s="23"/>
      <c r="N205" s="129"/>
      <c r="P205" s="16"/>
    </row>
    <row r="206" spans="2:16" ht="9.9499999999999993" customHeight="1">
      <c r="B206" s="151">
        <v>42509</v>
      </c>
      <c r="C206" s="19"/>
      <c r="D206" s="20"/>
      <c r="E206" s="21" t="s">
        <v>1296</v>
      </c>
      <c r="F206" s="20">
        <v>1</v>
      </c>
      <c r="G206" s="21"/>
      <c r="H206" s="22"/>
      <c r="I206" s="23"/>
      <c r="J206" s="24"/>
      <c r="K206" s="23"/>
      <c r="L206" s="24"/>
      <c r="M206" s="23"/>
      <c r="N206" s="129"/>
      <c r="P206" s="16"/>
    </row>
    <row r="207" spans="2:16" ht="9.9499999999999993" customHeight="1">
      <c r="B207" s="151">
        <v>42510</v>
      </c>
      <c r="C207" s="19"/>
      <c r="D207" s="20"/>
      <c r="E207" s="21" t="s">
        <v>1296</v>
      </c>
      <c r="F207" s="20">
        <v>0.5</v>
      </c>
      <c r="G207" s="21"/>
      <c r="H207" s="22"/>
      <c r="I207" s="23"/>
      <c r="J207" s="24"/>
      <c r="K207" s="23"/>
      <c r="L207" s="24"/>
      <c r="M207" s="23"/>
      <c r="N207" s="129"/>
      <c r="P207" s="16"/>
    </row>
    <row r="208" spans="2:16" ht="9.9499999999999993" customHeight="1">
      <c r="B208" s="151">
        <v>42513</v>
      </c>
      <c r="C208" s="19"/>
      <c r="D208" s="20"/>
      <c r="E208" s="21"/>
      <c r="F208" s="20"/>
      <c r="G208" s="21"/>
      <c r="H208" s="22"/>
      <c r="I208" s="23"/>
      <c r="J208" s="24"/>
      <c r="K208" s="23"/>
      <c r="L208" s="24"/>
      <c r="M208" s="23"/>
      <c r="N208" s="129"/>
      <c r="P208" s="16"/>
    </row>
    <row r="209" spans="2:16" ht="9.9499999999999993" customHeight="1">
      <c r="B209" s="151">
        <v>42515</v>
      </c>
      <c r="C209" s="19"/>
      <c r="D209" s="20"/>
      <c r="E209" s="21"/>
      <c r="F209" s="20"/>
      <c r="G209" s="21"/>
      <c r="H209" s="22"/>
      <c r="I209" s="23"/>
      <c r="J209" s="24"/>
      <c r="K209" s="23"/>
      <c r="L209" s="24"/>
      <c r="M209" s="23"/>
      <c r="N209" s="129"/>
      <c r="P209" s="16"/>
    </row>
    <row r="210" spans="2:16" ht="9.9499999999999993" customHeight="1">
      <c r="B210" s="151">
        <v>42523</v>
      </c>
      <c r="C210" s="19"/>
      <c r="D210" s="20"/>
      <c r="E210" s="21" t="s">
        <v>1282</v>
      </c>
      <c r="F210" s="20">
        <v>1.25</v>
      </c>
      <c r="G210" s="21"/>
      <c r="H210" s="22"/>
      <c r="I210" s="23"/>
      <c r="J210" s="24"/>
      <c r="K210" s="23"/>
      <c r="L210" s="24"/>
      <c r="M210" s="23"/>
      <c r="N210" s="129"/>
      <c r="P210" s="16"/>
    </row>
    <row r="211" spans="2:16" ht="9.9499999999999993" customHeight="1">
      <c r="B211" s="151">
        <v>42527</v>
      </c>
      <c r="C211" s="19"/>
      <c r="D211" s="20"/>
      <c r="E211" s="21" t="s">
        <v>1296</v>
      </c>
      <c r="F211" s="20">
        <v>1</v>
      </c>
      <c r="G211" s="21"/>
      <c r="H211" s="22"/>
      <c r="I211" s="23"/>
      <c r="J211" s="24"/>
      <c r="K211" s="23"/>
      <c r="L211" s="24"/>
      <c r="M211" s="23"/>
      <c r="N211" s="129"/>
      <c r="P211" s="16"/>
    </row>
    <row r="212" spans="2:16" ht="9.9499999999999993" customHeight="1">
      <c r="B212" s="151">
        <v>42531</v>
      </c>
      <c r="C212" s="19" t="s">
        <v>1521</v>
      </c>
      <c r="D212" s="20">
        <v>2</v>
      </c>
      <c r="E212" s="21" t="s">
        <v>1506</v>
      </c>
      <c r="F212" s="20">
        <v>0.5</v>
      </c>
      <c r="G212" s="21"/>
      <c r="H212" s="22"/>
      <c r="I212" s="23"/>
      <c r="J212" s="24"/>
      <c r="K212" s="23"/>
      <c r="L212" s="24"/>
      <c r="M212" s="23"/>
      <c r="N212" s="129"/>
      <c r="P212" s="16"/>
    </row>
    <row r="213" spans="2:16" ht="9.9499999999999993" customHeight="1">
      <c r="B213" s="151">
        <v>42572</v>
      </c>
      <c r="C213" s="19"/>
      <c r="D213" s="20"/>
      <c r="E213" s="21"/>
      <c r="F213" s="20"/>
      <c r="G213" s="21" t="s">
        <v>1153</v>
      </c>
      <c r="H213" s="22">
        <v>1</v>
      </c>
      <c r="I213" s="23"/>
      <c r="J213" s="24"/>
      <c r="K213" s="23"/>
      <c r="L213" s="24"/>
      <c r="M213" s="23" t="s">
        <v>1153</v>
      </c>
      <c r="N213" s="129">
        <v>1</v>
      </c>
      <c r="P213" s="16"/>
    </row>
    <row r="214" spans="2:16" ht="9.9499999999999993" customHeight="1">
      <c r="B214" s="151">
        <v>42573</v>
      </c>
      <c r="C214" s="19" t="s">
        <v>1526</v>
      </c>
      <c r="D214" s="20">
        <v>2</v>
      </c>
      <c r="E214" s="21"/>
      <c r="F214" s="20"/>
      <c r="G214" s="21"/>
      <c r="H214" s="22"/>
      <c r="I214" s="23" t="s">
        <v>1526</v>
      </c>
      <c r="J214" s="24">
        <v>2</v>
      </c>
      <c r="K214" s="23"/>
      <c r="L214" s="24"/>
      <c r="M214" s="23"/>
      <c r="N214" s="129"/>
      <c r="P214" s="16"/>
    </row>
    <row r="215" spans="2:16" ht="9.9499999999999993" customHeight="1">
      <c r="B215" s="151">
        <v>42626</v>
      </c>
      <c r="C215" s="19" t="s">
        <v>1542</v>
      </c>
      <c r="D215" s="20">
        <v>4</v>
      </c>
      <c r="E215" s="21"/>
      <c r="F215" s="20"/>
      <c r="G215" s="21"/>
      <c r="H215" s="22"/>
      <c r="I215" s="23"/>
      <c r="J215" s="24"/>
      <c r="K215" s="23"/>
      <c r="L215" s="24"/>
      <c r="M215" s="23"/>
      <c r="N215" s="129"/>
      <c r="P215" s="16"/>
    </row>
    <row r="216" spans="2:16" ht="9.9499999999999993" customHeight="1">
      <c r="B216" s="151">
        <v>42627</v>
      </c>
      <c r="C216" s="19" t="s">
        <v>1542</v>
      </c>
      <c r="D216" s="20">
        <v>8</v>
      </c>
      <c r="E216" s="21"/>
      <c r="F216" s="20"/>
      <c r="G216" s="21"/>
      <c r="H216" s="22"/>
      <c r="I216" s="23"/>
      <c r="J216" s="24"/>
      <c r="K216" s="23"/>
      <c r="L216" s="24"/>
      <c r="M216" s="23"/>
      <c r="N216" s="129"/>
      <c r="P216" s="16"/>
    </row>
    <row r="217" spans="2:16" ht="9.9499999999999993" customHeight="1">
      <c r="B217" s="151">
        <v>42628</v>
      </c>
      <c r="C217" s="19" t="s">
        <v>1542</v>
      </c>
      <c r="D217" s="20">
        <v>8</v>
      </c>
      <c r="E217" s="21"/>
      <c r="F217" s="20"/>
      <c r="G217" s="21"/>
      <c r="H217" s="22"/>
      <c r="I217" s="23"/>
      <c r="J217" s="24"/>
      <c r="K217" s="23"/>
      <c r="L217" s="24"/>
      <c r="M217" s="23"/>
      <c r="N217" s="129"/>
      <c r="P217" s="16"/>
    </row>
    <row r="218" spans="2:16" ht="9.9499999999999993" customHeight="1">
      <c r="B218" s="151">
        <v>42629</v>
      </c>
      <c r="C218" s="19" t="s">
        <v>1542</v>
      </c>
      <c r="D218" s="20">
        <v>3</v>
      </c>
      <c r="E218" s="21"/>
      <c r="F218" s="20"/>
      <c r="G218" s="21"/>
      <c r="H218" s="22"/>
      <c r="I218" s="23"/>
      <c r="J218" s="24"/>
      <c r="K218" s="23"/>
      <c r="L218" s="24"/>
      <c r="M218" s="23"/>
      <c r="N218" s="129"/>
      <c r="P218" s="16"/>
    </row>
    <row r="219" spans="2:16" ht="9.9499999999999993" customHeight="1">
      <c r="B219" s="151">
        <v>42632</v>
      </c>
      <c r="C219" s="19" t="s">
        <v>1543</v>
      </c>
      <c r="D219" s="20">
        <v>4</v>
      </c>
      <c r="E219" s="21"/>
      <c r="F219" s="20"/>
      <c r="G219" s="21"/>
      <c r="H219" s="22"/>
      <c r="I219" s="23"/>
      <c r="J219" s="24"/>
      <c r="K219" s="23"/>
      <c r="L219" s="24"/>
      <c r="M219" s="23"/>
      <c r="N219" s="129"/>
      <c r="P219" s="16"/>
    </row>
    <row r="220" spans="2:16" ht="9.9499999999999993" customHeight="1">
      <c r="B220" s="151">
        <v>42633</v>
      </c>
      <c r="C220" s="19" t="s">
        <v>1543</v>
      </c>
      <c r="D220" s="20">
        <v>5</v>
      </c>
      <c r="E220" s="21"/>
      <c r="F220" s="20"/>
      <c r="G220" s="21"/>
      <c r="H220" s="22"/>
      <c r="I220" s="23"/>
      <c r="J220" s="24"/>
      <c r="K220" s="23"/>
      <c r="L220" s="24"/>
      <c r="M220" s="23"/>
      <c r="N220" s="129"/>
      <c r="P220" s="16"/>
    </row>
    <row r="221" spans="2:16" ht="9.9499999999999993" customHeight="1">
      <c r="B221" s="151">
        <v>42634</v>
      </c>
      <c r="C221" s="19" t="s">
        <v>1543</v>
      </c>
      <c r="D221" s="20">
        <v>8</v>
      </c>
      <c r="E221" s="21"/>
      <c r="F221" s="20"/>
      <c r="G221" s="21"/>
      <c r="H221" s="22"/>
      <c r="I221" s="23"/>
      <c r="J221" s="24"/>
      <c r="K221" s="23"/>
      <c r="L221" s="24"/>
      <c r="M221" s="23"/>
      <c r="N221" s="129"/>
      <c r="P221" s="16"/>
    </row>
    <row r="222" spans="2:16" ht="9.9499999999999993" customHeight="1">
      <c r="B222" s="151">
        <v>42635</v>
      </c>
      <c r="C222" s="19" t="s">
        <v>1543</v>
      </c>
      <c r="D222" s="20">
        <v>6</v>
      </c>
      <c r="E222" s="21"/>
      <c r="F222" s="20"/>
      <c r="G222" s="21"/>
      <c r="H222" s="22"/>
      <c r="I222" s="23"/>
      <c r="J222" s="24"/>
      <c r="K222" s="23"/>
      <c r="L222" s="24"/>
      <c r="M222" s="23"/>
      <c r="N222" s="129"/>
      <c r="P222" s="16"/>
    </row>
    <row r="223" spans="2:16" ht="9.9499999999999993" customHeight="1">
      <c r="B223" s="151">
        <v>42636</v>
      </c>
      <c r="C223" s="19" t="s">
        <v>1543</v>
      </c>
      <c r="D223" s="20">
        <v>4</v>
      </c>
      <c r="E223" s="21"/>
      <c r="F223" s="20"/>
      <c r="G223" s="21"/>
      <c r="H223" s="22"/>
      <c r="I223" s="23"/>
      <c r="J223" s="24"/>
      <c r="K223" s="23"/>
      <c r="L223" s="24"/>
      <c r="M223" s="23"/>
      <c r="N223" s="129"/>
      <c r="P223" s="16"/>
    </row>
    <row r="224" spans="2:16" ht="9.9499999999999993" customHeight="1">
      <c r="B224" s="151">
        <v>42639</v>
      </c>
      <c r="C224" s="19" t="s">
        <v>1543</v>
      </c>
      <c r="D224" s="20">
        <v>7</v>
      </c>
      <c r="E224" s="21"/>
      <c r="F224" s="20"/>
      <c r="G224" s="21"/>
      <c r="H224" s="22"/>
      <c r="I224" s="23" t="s">
        <v>1543</v>
      </c>
      <c r="J224" s="24">
        <v>4.5</v>
      </c>
      <c r="K224" s="23" t="s">
        <v>1542</v>
      </c>
      <c r="L224" s="24">
        <v>3.5</v>
      </c>
      <c r="M224" s="23"/>
      <c r="N224" s="129"/>
      <c r="P224" s="16"/>
    </row>
    <row r="225" spans="2:16" ht="9.9499999999999993" customHeight="1">
      <c r="B225" s="151">
        <v>42640</v>
      </c>
      <c r="C225" s="19" t="s">
        <v>1543</v>
      </c>
      <c r="D225" s="20">
        <v>8</v>
      </c>
      <c r="E225" s="21"/>
      <c r="F225" s="20"/>
      <c r="G225" s="21"/>
      <c r="H225" s="22"/>
      <c r="I225" s="23" t="s">
        <v>1543</v>
      </c>
      <c r="J225" s="24">
        <v>8</v>
      </c>
      <c r="K225" s="23"/>
      <c r="L225" s="24"/>
      <c r="M225" s="23"/>
      <c r="N225" s="129"/>
      <c r="P225" s="16"/>
    </row>
    <row r="226" spans="2:16" ht="9.9499999999999993" customHeight="1">
      <c r="B226" s="151">
        <v>42641</v>
      </c>
      <c r="C226" s="19" t="s">
        <v>1543</v>
      </c>
      <c r="D226" s="20">
        <v>7</v>
      </c>
      <c r="E226" s="21" t="s">
        <v>1542</v>
      </c>
      <c r="F226" s="20">
        <v>1</v>
      </c>
      <c r="G226" s="21"/>
      <c r="H226" s="22"/>
      <c r="I226" s="23" t="s">
        <v>1543</v>
      </c>
      <c r="J226" s="24">
        <v>8</v>
      </c>
      <c r="K226" s="23"/>
      <c r="L226" s="24"/>
      <c r="M226" s="23"/>
      <c r="N226" s="129"/>
      <c r="P226" s="16"/>
    </row>
    <row r="227" spans="2:16" ht="9.9499999999999993" customHeight="1">
      <c r="B227" s="151">
        <v>42642</v>
      </c>
      <c r="C227" s="19" t="s">
        <v>1543</v>
      </c>
      <c r="D227" s="20">
        <v>3</v>
      </c>
      <c r="E227" s="21" t="s">
        <v>1542</v>
      </c>
      <c r="F227" s="20">
        <v>5</v>
      </c>
      <c r="G227" s="21"/>
      <c r="H227" s="22"/>
      <c r="I227" s="23" t="s">
        <v>1543</v>
      </c>
      <c r="J227" s="24">
        <v>6.5</v>
      </c>
      <c r="K227" s="23" t="s">
        <v>1542</v>
      </c>
      <c r="L227" s="24">
        <v>1.5</v>
      </c>
      <c r="M227" s="23"/>
      <c r="N227" s="129"/>
      <c r="P227" s="16"/>
    </row>
    <row r="228" spans="2:16" ht="9.9499999999999993" customHeight="1">
      <c r="B228" s="151">
        <v>42643</v>
      </c>
      <c r="C228" s="19" t="s">
        <v>1542</v>
      </c>
      <c r="D228" s="20">
        <v>3</v>
      </c>
      <c r="E228" s="21"/>
      <c r="F228" s="20"/>
      <c r="G228" s="21"/>
      <c r="H228" s="22"/>
      <c r="I228" s="23" t="s">
        <v>1543</v>
      </c>
      <c r="J228" s="24">
        <v>1.5</v>
      </c>
      <c r="K228" s="23" t="s">
        <v>1542</v>
      </c>
      <c r="L228" s="24">
        <v>2.5</v>
      </c>
      <c r="M228" s="23"/>
      <c r="N228" s="129"/>
      <c r="P228" s="16"/>
    </row>
    <row r="229" spans="2:16" ht="9.9499999999999993" customHeight="1">
      <c r="B229" s="151">
        <v>42646</v>
      </c>
      <c r="C229" s="19" t="s">
        <v>1542</v>
      </c>
      <c r="D229" s="20">
        <v>7</v>
      </c>
      <c r="E229" s="21"/>
      <c r="F229" s="20"/>
      <c r="G229" s="21"/>
      <c r="H229" s="22"/>
      <c r="I229" s="23" t="s">
        <v>1542</v>
      </c>
      <c r="J229" s="24">
        <v>8</v>
      </c>
      <c r="K229" s="23"/>
      <c r="L229" s="24"/>
      <c r="M229" s="23"/>
      <c r="N229" s="129"/>
      <c r="P229" s="16"/>
    </row>
    <row r="230" spans="2:16" ht="9.9499999999999993" customHeight="1">
      <c r="B230" s="151">
        <v>42647</v>
      </c>
      <c r="C230" s="19" t="s">
        <v>1542</v>
      </c>
      <c r="D230" s="20">
        <v>8</v>
      </c>
      <c r="E230" s="21"/>
      <c r="F230" s="20"/>
      <c r="G230" s="21"/>
      <c r="H230" s="22"/>
      <c r="I230" s="23" t="s">
        <v>1542</v>
      </c>
      <c r="J230" s="24">
        <v>7.5</v>
      </c>
      <c r="K230" s="23"/>
      <c r="L230" s="24"/>
      <c r="M230" s="23"/>
      <c r="N230" s="129"/>
      <c r="P230" s="16"/>
    </row>
    <row r="231" spans="2:16" ht="9.9499999999999993" customHeight="1">
      <c r="B231" s="151">
        <v>42648</v>
      </c>
      <c r="C231" s="19" t="s">
        <v>1542</v>
      </c>
      <c r="D231" s="20">
        <v>8</v>
      </c>
      <c r="E231" s="21"/>
      <c r="F231" s="20"/>
      <c r="G231" s="21"/>
      <c r="H231" s="22"/>
      <c r="I231" s="23" t="s">
        <v>1542</v>
      </c>
      <c r="J231" s="24">
        <v>8</v>
      </c>
      <c r="K231" s="23"/>
      <c r="L231" s="24"/>
      <c r="M231" s="23"/>
      <c r="N231" s="129"/>
      <c r="P231" s="16"/>
    </row>
    <row r="232" spans="2:16" ht="9.9499999999999993" customHeight="1">
      <c r="B232" s="151">
        <v>42649</v>
      </c>
      <c r="C232" s="19" t="s">
        <v>1542</v>
      </c>
      <c r="D232" s="20">
        <v>8</v>
      </c>
      <c r="E232" s="21"/>
      <c r="F232" s="20"/>
      <c r="G232" s="21"/>
      <c r="H232" s="22"/>
      <c r="I232" s="23" t="s">
        <v>1542</v>
      </c>
      <c r="J232" s="24">
        <v>8</v>
      </c>
      <c r="K232" s="23"/>
      <c r="L232" s="24"/>
      <c r="M232" s="23"/>
      <c r="N232" s="129"/>
      <c r="P232" s="16"/>
    </row>
    <row r="233" spans="2:16" ht="9.9499999999999993" customHeight="1">
      <c r="B233" s="151">
        <v>42650</v>
      </c>
      <c r="C233" s="19" t="s">
        <v>1542</v>
      </c>
      <c r="D233" s="20">
        <v>4</v>
      </c>
      <c r="E233" s="21"/>
      <c r="F233" s="20"/>
      <c r="G233" s="21"/>
      <c r="H233" s="22"/>
      <c r="I233" s="23" t="s">
        <v>1542</v>
      </c>
      <c r="J233" s="24">
        <v>4</v>
      </c>
      <c r="K233" s="23"/>
      <c r="L233" s="24"/>
      <c r="M233" s="23"/>
      <c r="N233" s="129"/>
      <c r="P233" s="16"/>
    </row>
    <row r="234" spans="2:16" ht="9.9499999999999993" customHeight="1">
      <c r="B234" s="151">
        <v>42653</v>
      </c>
      <c r="C234" s="19" t="s">
        <v>1554</v>
      </c>
      <c r="D234" s="20">
        <v>3</v>
      </c>
      <c r="E234" s="21"/>
      <c r="F234" s="20"/>
      <c r="G234" s="21"/>
      <c r="H234" s="22"/>
      <c r="I234" s="23"/>
      <c r="J234" s="24"/>
      <c r="K234" s="23"/>
      <c r="L234" s="24"/>
      <c r="M234" s="23"/>
      <c r="N234" s="129"/>
      <c r="P234" s="16"/>
    </row>
    <row r="235" spans="2:16" ht="9.9499999999999993" customHeight="1">
      <c r="B235" s="151">
        <v>42654</v>
      </c>
      <c r="C235" s="19"/>
      <c r="D235" s="20"/>
      <c r="E235" s="21" t="s">
        <v>1554</v>
      </c>
      <c r="F235" s="20">
        <v>1</v>
      </c>
      <c r="G235" s="21"/>
      <c r="H235" s="22"/>
      <c r="I235" s="23"/>
      <c r="J235" s="24"/>
      <c r="K235" s="23"/>
      <c r="L235" s="24"/>
      <c r="M235" s="23"/>
      <c r="N235" s="129"/>
      <c r="P235" s="16"/>
    </row>
    <row r="236" spans="2:16" ht="9.9499999999999993" customHeight="1">
      <c r="B236" s="151">
        <v>42655</v>
      </c>
      <c r="C236" s="19"/>
      <c r="D236" s="20"/>
      <c r="E236" s="21" t="s">
        <v>1250</v>
      </c>
      <c r="F236" s="20">
        <v>3</v>
      </c>
      <c r="G236" s="21"/>
      <c r="H236" s="22"/>
      <c r="I236" s="23"/>
      <c r="J236" s="24"/>
      <c r="K236" s="23"/>
      <c r="L236" s="24"/>
      <c r="M236" s="23"/>
      <c r="N236" s="129"/>
      <c r="P236" s="16"/>
    </row>
    <row r="237" spans="2:16" ht="9.9499999999999993" customHeight="1">
      <c r="B237" s="151">
        <v>42660</v>
      </c>
      <c r="C237" s="19" t="s">
        <v>1248</v>
      </c>
      <c r="D237" s="20">
        <v>0.75</v>
      </c>
      <c r="E237" s="21"/>
      <c r="F237" s="20"/>
      <c r="G237" s="21"/>
      <c r="H237" s="22"/>
      <c r="I237" s="23"/>
      <c r="J237" s="24"/>
      <c r="K237" s="23"/>
      <c r="L237" s="24"/>
      <c r="M237" s="23"/>
      <c r="N237" s="129"/>
      <c r="P237" s="16"/>
    </row>
    <row r="238" spans="2:16" ht="9.9499999999999993" customHeight="1">
      <c r="B238" s="151">
        <v>42667</v>
      </c>
      <c r="C238" s="19" t="s">
        <v>1542</v>
      </c>
      <c r="D238" s="20">
        <v>8</v>
      </c>
      <c r="E238" s="21"/>
      <c r="F238" s="20"/>
      <c r="G238" s="21"/>
      <c r="H238" s="22"/>
      <c r="I238" s="23" t="s">
        <v>1542</v>
      </c>
      <c r="J238" s="24">
        <v>8</v>
      </c>
      <c r="K238" s="23"/>
      <c r="L238" s="24"/>
      <c r="M238" s="23"/>
      <c r="N238" s="129"/>
      <c r="P238" s="16"/>
    </row>
    <row r="239" spans="2:16" ht="9.9499999999999993" customHeight="1">
      <c r="B239" s="151">
        <v>42668</v>
      </c>
      <c r="C239" s="19"/>
      <c r="D239" s="20"/>
      <c r="E239" s="21" t="s">
        <v>1542</v>
      </c>
      <c r="F239" s="20">
        <v>1</v>
      </c>
      <c r="G239" s="21"/>
      <c r="H239" s="22"/>
      <c r="I239" s="23" t="s">
        <v>1542</v>
      </c>
      <c r="J239" s="24">
        <v>8</v>
      </c>
      <c r="K239" s="23"/>
      <c r="L239" s="24"/>
      <c r="M239" s="23"/>
      <c r="N239" s="129"/>
      <c r="P239" s="16"/>
    </row>
    <row r="240" spans="2:16" ht="9.9499999999999993" customHeight="1">
      <c r="B240" s="151">
        <v>42669</v>
      </c>
      <c r="C240" s="19"/>
      <c r="D240" s="20"/>
      <c r="E240" s="21" t="s">
        <v>1542</v>
      </c>
      <c r="F240" s="20">
        <v>0.5</v>
      </c>
      <c r="G240" s="21" t="s">
        <v>1555</v>
      </c>
      <c r="H240" s="22">
        <v>1</v>
      </c>
      <c r="I240" s="23" t="s">
        <v>1542</v>
      </c>
      <c r="J240" s="24">
        <v>3.5</v>
      </c>
      <c r="K240" s="23"/>
      <c r="L240" s="24"/>
      <c r="M240" s="23"/>
      <c r="N240" s="129"/>
      <c r="P240" s="16"/>
    </row>
    <row r="241" spans="2:16" ht="9.9499999999999993" customHeight="1">
      <c r="B241" s="151">
        <v>42670</v>
      </c>
      <c r="C241" s="19" t="s">
        <v>1543</v>
      </c>
      <c r="D241" s="20">
        <v>5</v>
      </c>
      <c r="E241" s="21"/>
      <c r="F241" s="20"/>
      <c r="G241" s="21"/>
      <c r="H241" s="22"/>
      <c r="I241" s="23" t="s">
        <v>1542</v>
      </c>
      <c r="J241" s="24">
        <v>5</v>
      </c>
      <c r="K241" s="23" t="s">
        <v>1543</v>
      </c>
      <c r="L241" s="24">
        <v>1.5</v>
      </c>
      <c r="M241" s="23" t="s">
        <v>1557</v>
      </c>
      <c r="N241" s="129">
        <v>1.5</v>
      </c>
      <c r="P241" s="16"/>
    </row>
    <row r="242" spans="2:16" ht="9.9499999999999993" customHeight="1">
      <c r="B242" s="151">
        <v>40844</v>
      </c>
      <c r="C242" s="19" t="s">
        <v>1543</v>
      </c>
      <c r="D242" s="20">
        <v>1</v>
      </c>
      <c r="E242" s="21" t="s">
        <v>1526</v>
      </c>
      <c r="F242" s="20">
        <v>1.75</v>
      </c>
      <c r="G242" s="21"/>
      <c r="H242" s="20"/>
      <c r="I242" s="23" t="s">
        <v>1543</v>
      </c>
      <c r="J242" s="24">
        <v>1</v>
      </c>
      <c r="K242" s="23" t="s">
        <v>1526</v>
      </c>
      <c r="L242" s="24">
        <v>1.75</v>
      </c>
      <c r="M242" s="23"/>
      <c r="N242" s="129"/>
      <c r="P242" s="16"/>
    </row>
    <row r="243" spans="2:16" ht="9.9499999999999993" customHeight="1">
      <c r="B243" s="151">
        <v>42676</v>
      </c>
      <c r="C243" s="19" t="s">
        <v>1542</v>
      </c>
      <c r="D243" s="20">
        <v>3.5</v>
      </c>
      <c r="E243" s="21"/>
      <c r="F243" s="20"/>
      <c r="G243" s="21"/>
      <c r="H243" s="20"/>
      <c r="I243" s="23"/>
      <c r="J243" s="24"/>
      <c r="K243" s="23" t="s">
        <v>1543</v>
      </c>
      <c r="L243" s="24">
        <v>3</v>
      </c>
      <c r="M243" s="23" t="s">
        <v>1542</v>
      </c>
      <c r="N243" s="129">
        <v>2.75</v>
      </c>
      <c r="P243" s="16"/>
    </row>
    <row r="244" spans="2:16" ht="9.9499999999999993" customHeight="1">
      <c r="B244" s="151">
        <v>42676</v>
      </c>
      <c r="C244" s="19" t="s">
        <v>1543</v>
      </c>
      <c r="D244" s="20">
        <v>1</v>
      </c>
      <c r="E244" s="21"/>
      <c r="F244" s="20"/>
      <c r="G244" s="21"/>
      <c r="H244" s="20"/>
      <c r="I244" s="23"/>
      <c r="J244" s="24"/>
      <c r="K244" s="23"/>
      <c r="L244" s="24"/>
      <c r="M244" s="23"/>
      <c r="N244" s="129"/>
      <c r="P244" s="16"/>
    </row>
    <row r="245" spans="2:16" ht="9.9499999999999993" customHeight="1">
      <c r="B245" s="151">
        <v>43042</v>
      </c>
      <c r="C245" s="19"/>
      <c r="D245" s="20"/>
      <c r="E245" s="21"/>
      <c r="F245" s="20"/>
      <c r="G245" s="21"/>
      <c r="H245" s="20"/>
      <c r="I245" s="23"/>
      <c r="J245" s="24"/>
      <c r="K245" s="23"/>
      <c r="L245" s="24"/>
      <c r="M245" s="23"/>
      <c r="N245" s="129"/>
      <c r="P245" s="16"/>
    </row>
    <row r="246" spans="2:16" ht="9.9499999999999993" customHeight="1">
      <c r="B246" s="151">
        <v>42678</v>
      </c>
      <c r="C246" s="19" t="s">
        <v>1542</v>
      </c>
      <c r="D246" s="20">
        <v>2.75</v>
      </c>
      <c r="E246" s="21"/>
      <c r="F246" s="20"/>
      <c r="G246" s="21" t="s">
        <v>1270</v>
      </c>
      <c r="H246" s="20">
        <v>0.5</v>
      </c>
      <c r="I246" s="23" t="s">
        <v>1542</v>
      </c>
      <c r="J246" s="24">
        <v>2.75</v>
      </c>
      <c r="K246" s="23" t="s">
        <v>1270</v>
      </c>
      <c r="L246" s="24">
        <v>1.25</v>
      </c>
      <c r="M246" s="23"/>
      <c r="N246" s="129"/>
      <c r="P246" s="16"/>
    </row>
    <row r="247" spans="2:16" ht="9.9499999999999993" customHeight="1">
      <c r="B247" s="151">
        <v>42681</v>
      </c>
      <c r="C247" s="19"/>
      <c r="D247" s="20"/>
      <c r="E247" s="21" t="s">
        <v>1556</v>
      </c>
      <c r="F247" s="20">
        <v>0.5</v>
      </c>
      <c r="G247" s="21"/>
      <c r="H247" s="20"/>
      <c r="I247" s="23"/>
      <c r="J247" s="24"/>
      <c r="K247" s="23" t="s">
        <v>1543</v>
      </c>
      <c r="L247" s="24">
        <v>1.5</v>
      </c>
      <c r="M247" s="23"/>
      <c r="N247" s="129"/>
      <c r="P247" s="16"/>
    </row>
    <row r="248" spans="2:16" ht="9.9499999999999993" customHeight="1">
      <c r="B248" s="151">
        <v>42682</v>
      </c>
      <c r="C248" s="19"/>
      <c r="D248" s="20"/>
      <c r="E248" s="21"/>
      <c r="F248" s="20"/>
      <c r="G248" s="21"/>
      <c r="H248" s="20"/>
      <c r="I248" s="23"/>
      <c r="J248" s="24"/>
      <c r="K248" s="23"/>
      <c r="L248" s="24"/>
      <c r="M248" s="23"/>
      <c r="N248" s="129"/>
      <c r="P248" s="16"/>
    </row>
    <row r="249" spans="2:16" ht="9.9499999999999993" customHeight="1">
      <c r="B249" s="151">
        <v>42683</v>
      </c>
      <c r="C249" s="19"/>
      <c r="D249" s="20"/>
      <c r="E249" s="21"/>
      <c r="F249" s="20"/>
      <c r="G249" s="21"/>
      <c r="H249" s="20"/>
      <c r="I249" s="23"/>
      <c r="J249" s="24"/>
      <c r="K249" s="23"/>
      <c r="L249" s="24"/>
      <c r="M249" s="23"/>
      <c r="N249" s="129"/>
      <c r="P249" s="16"/>
    </row>
    <row r="250" spans="2:16" ht="9.9499999999999993" customHeight="1">
      <c r="B250" s="151">
        <v>42684</v>
      </c>
      <c r="C250" s="19"/>
      <c r="D250" s="20"/>
      <c r="E250" s="21"/>
      <c r="F250" s="20"/>
      <c r="G250" s="21" t="s">
        <v>1543</v>
      </c>
      <c r="H250" s="20">
        <v>5.5</v>
      </c>
      <c r="I250" s="23"/>
      <c r="J250" s="24"/>
      <c r="K250" s="23" t="s">
        <v>1543</v>
      </c>
      <c r="L250" s="24">
        <v>7</v>
      </c>
      <c r="M250" s="23"/>
      <c r="N250" s="129"/>
      <c r="P250" s="16"/>
    </row>
    <row r="251" spans="2:16" ht="9.9499999999999993" customHeight="1">
      <c r="B251" s="151">
        <v>42696</v>
      </c>
      <c r="C251" s="19"/>
      <c r="D251" s="20"/>
      <c r="E251" s="21" t="s">
        <v>1670</v>
      </c>
      <c r="F251" s="20">
        <v>0.5</v>
      </c>
      <c r="G251" s="21"/>
      <c r="H251" s="20"/>
      <c r="I251" s="23"/>
      <c r="J251" s="24"/>
      <c r="K251" s="23"/>
      <c r="L251" s="24"/>
      <c r="M251" s="23"/>
      <c r="N251" s="129"/>
      <c r="P251" s="16"/>
    </row>
    <row r="252" spans="2:16" ht="9.9499999999999993" customHeight="1">
      <c r="B252" s="151"/>
      <c r="C252" s="19"/>
      <c r="D252" s="20"/>
      <c r="E252" s="21"/>
      <c r="F252" s="20"/>
      <c r="G252" s="21"/>
      <c r="H252" s="20"/>
      <c r="I252" s="23"/>
      <c r="J252" s="24"/>
      <c r="K252" s="23"/>
      <c r="L252" s="24"/>
      <c r="M252" s="23"/>
      <c r="N252" s="129"/>
      <c r="P252" s="16"/>
    </row>
    <row r="253" spans="2:16" ht="9.9499999999999993" customHeight="1">
      <c r="B253" s="151"/>
      <c r="C253" s="19"/>
      <c r="D253" s="20"/>
      <c r="E253" s="21"/>
      <c r="F253" s="20"/>
      <c r="G253" s="21"/>
      <c r="H253" s="20"/>
      <c r="I253" s="23"/>
      <c r="J253" s="24"/>
      <c r="K253" s="23"/>
      <c r="L253" s="24"/>
      <c r="M253" s="23"/>
      <c r="N253" s="129"/>
      <c r="P253" s="16"/>
    </row>
    <row r="254" spans="2:16" ht="9.9499999999999993" customHeight="1">
      <c r="B254" s="151"/>
      <c r="C254" s="19"/>
      <c r="D254" s="20"/>
      <c r="E254" s="21"/>
      <c r="F254" s="20"/>
      <c r="G254" s="21"/>
      <c r="H254" s="20"/>
      <c r="I254" s="23"/>
      <c r="J254" s="24"/>
      <c r="K254" s="23"/>
      <c r="L254" s="24"/>
      <c r="M254" s="23"/>
      <c r="N254" s="129"/>
      <c r="P254" s="16"/>
    </row>
    <row r="255" spans="2:16" ht="9.9499999999999993" customHeight="1">
      <c r="B255" s="151"/>
      <c r="C255" s="19"/>
      <c r="D255" s="20"/>
      <c r="E255" s="21"/>
      <c r="F255" s="20"/>
      <c r="G255" s="21"/>
      <c r="H255" s="20"/>
      <c r="I255" s="23"/>
      <c r="J255" s="24"/>
      <c r="K255" s="23"/>
      <c r="L255" s="24"/>
      <c r="M255" s="23"/>
      <c r="N255" s="129"/>
      <c r="P255" s="16"/>
    </row>
    <row r="256" spans="2:16" ht="9.9499999999999993" customHeight="1">
      <c r="B256" s="151"/>
      <c r="C256" s="19"/>
      <c r="D256" s="20"/>
      <c r="E256" s="21"/>
      <c r="F256" s="20"/>
      <c r="G256" s="21"/>
      <c r="H256" s="20"/>
      <c r="I256" s="23"/>
      <c r="J256" s="24"/>
      <c r="K256" s="23"/>
      <c r="L256" s="24"/>
      <c r="M256" s="23"/>
      <c r="N256" s="129"/>
      <c r="P256" s="16"/>
    </row>
    <row r="257" spans="2:16" ht="9.9499999999999993" customHeight="1">
      <c r="B257" s="151"/>
      <c r="C257" s="19"/>
      <c r="D257" s="20"/>
      <c r="E257" s="21"/>
      <c r="F257" s="20"/>
      <c r="G257" s="21"/>
      <c r="H257" s="20"/>
      <c r="I257" s="23"/>
      <c r="J257" s="24"/>
      <c r="K257" s="23"/>
      <c r="L257" s="24"/>
      <c r="M257" s="23"/>
      <c r="N257" s="129"/>
      <c r="P257" s="16"/>
    </row>
    <row r="258" spans="2:16" ht="9.9499999999999993" customHeight="1">
      <c r="B258" s="151"/>
      <c r="C258" s="19"/>
      <c r="D258" s="20"/>
      <c r="E258" s="21"/>
      <c r="F258" s="20"/>
      <c r="G258" s="21"/>
      <c r="H258" s="20"/>
      <c r="I258" s="23"/>
      <c r="J258" s="24"/>
      <c r="K258" s="23"/>
      <c r="L258" s="24"/>
      <c r="M258" s="23"/>
      <c r="N258" s="129"/>
      <c r="P258" s="16"/>
    </row>
    <row r="259" spans="2:16" ht="9.9499999999999993" customHeight="1">
      <c r="B259" s="151"/>
      <c r="C259" s="19"/>
      <c r="D259" s="20"/>
      <c r="E259" s="21"/>
      <c r="F259" s="20"/>
      <c r="G259" s="21"/>
      <c r="H259" s="20"/>
      <c r="I259" s="23"/>
      <c r="J259" s="24"/>
      <c r="K259" s="23"/>
      <c r="L259" s="24"/>
      <c r="M259" s="23"/>
      <c r="N259" s="129"/>
      <c r="P259" s="16"/>
    </row>
    <row r="260" spans="2:16" ht="9.9499999999999993" customHeight="1">
      <c r="B260" s="151"/>
      <c r="C260" s="19"/>
      <c r="D260" s="20"/>
      <c r="E260" s="21"/>
      <c r="F260" s="20"/>
      <c r="G260" s="21"/>
      <c r="H260" s="20"/>
      <c r="I260" s="23"/>
      <c r="J260" s="24"/>
      <c r="K260" s="23"/>
      <c r="L260" s="24"/>
      <c r="M260" s="23"/>
      <c r="N260" s="129"/>
      <c r="P260" s="16"/>
    </row>
    <row r="261" spans="2:16" ht="9.9499999999999993" customHeight="1">
      <c r="B261" s="151"/>
      <c r="C261" s="19"/>
      <c r="D261" s="20"/>
      <c r="E261" s="21"/>
      <c r="F261" s="20"/>
      <c r="G261" s="21"/>
      <c r="H261" s="20"/>
      <c r="I261" s="23"/>
      <c r="J261" s="24"/>
      <c r="K261" s="23"/>
      <c r="L261" s="24"/>
      <c r="M261" s="23"/>
      <c r="N261" s="129"/>
      <c r="P261" s="16"/>
    </row>
    <row r="262" spans="2:16" ht="9.9499999999999993" customHeight="1">
      <c r="B262" s="151"/>
      <c r="C262" s="19"/>
      <c r="D262" s="20"/>
      <c r="E262" s="21"/>
      <c r="F262" s="20"/>
      <c r="G262" s="21"/>
      <c r="H262" s="20"/>
      <c r="I262" s="23"/>
      <c r="J262" s="24"/>
      <c r="K262" s="23"/>
      <c r="L262" s="24"/>
      <c r="M262" s="23"/>
      <c r="N262" s="129"/>
      <c r="P262" s="16"/>
    </row>
    <row r="263" spans="2:16" ht="9.9499999999999993" customHeight="1">
      <c r="B263" s="151"/>
      <c r="C263" s="19"/>
      <c r="D263" s="20"/>
      <c r="E263" s="21"/>
      <c r="F263" s="20"/>
      <c r="G263" s="21"/>
      <c r="H263" s="20"/>
      <c r="I263" s="23"/>
      <c r="J263" s="24"/>
      <c r="K263" s="23"/>
      <c r="L263" s="24"/>
      <c r="M263" s="23"/>
      <c r="N263" s="129"/>
      <c r="P263" s="16"/>
    </row>
    <row r="264" spans="2:16" ht="9.9499999999999993" customHeight="1">
      <c r="B264" s="151"/>
      <c r="C264" s="19"/>
      <c r="D264" s="20"/>
      <c r="E264" s="21"/>
      <c r="F264" s="20"/>
      <c r="G264" s="21"/>
      <c r="H264" s="20"/>
      <c r="I264" s="23"/>
      <c r="J264" s="24"/>
      <c r="K264" s="23"/>
      <c r="L264" s="24"/>
      <c r="M264" s="23"/>
      <c r="N264" s="129"/>
      <c r="P264" s="16"/>
    </row>
    <row r="265" spans="2:16" ht="9.9499999999999993" customHeight="1">
      <c r="B265" s="151"/>
      <c r="C265" s="19"/>
      <c r="D265" s="20"/>
      <c r="E265" s="21"/>
      <c r="F265" s="20"/>
      <c r="G265" s="21"/>
      <c r="H265" s="20"/>
      <c r="I265" s="23"/>
      <c r="J265" s="24"/>
      <c r="K265" s="23"/>
      <c r="L265" s="24"/>
      <c r="M265" s="23"/>
      <c r="N265" s="129"/>
      <c r="P265" s="16"/>
    </row>
    <row r="266" spans="2:16" ht="9.9499999999999993" customHeight="1">
      <c r="B266" s="151"/>
      <c r="C266" s="19"/>
      <c r="D266" s="20"/>
      <c r="E266" s="21"/>
      <c r="F266" s="20"/>
      <c r="G266" s="21"/>
      <c r="H266" s="20"/>
      <c r="I266" s="23"/>
      <c r="J266" s="24"/>
      <c r="K266" s="23"/>
      <c r="L266" s="24"/>
      <c r="M266" s="23"/>
      <c r="N266" s="129"/>
      <c r="P266" s="16"/>
    </row>
    <row r="267" spans="2:16" ht="9.9499999999999993" customHeight="1">
      <c r="B267" s="151"/>
      <c r="C267" s="19"/>
      <c r="D267" s="20"/>
      <c r="E267" s="21"/>
      <c r="F267" s="20"/>
      <c r="G267" s="21"/>
      <c r="H267" s="20"/>
      <c r="I267" s="23"/>
      <c r="J267" s="24"/>
      <c r="K267" s="23"/>
      <c r="L267" s="24"/>
      <c r="M267" s="23"/>
      <c r="N267" s="129"/>
      <c r="P267" s="16"/>
    </row>
    <row r="268" spans="2:16" ht="9.9499999999999993" customHeight="1">
      <c r="B268" s="151"/>
      <c r="C268" s="19"/>
      <c r="D268" s="20"/>
      <c r="E268" s="21"/>
      <c r="F268" s="20"/>
      <c r="G268" s="21"/>
      <c r="H268" s="20"/>
      <c r="I268" s="23"/>
      <c r="J268" s="24"/>
      <c r="K268" s="23"/>
      <c r="L268" s="24"/>
      <c r="M268" s="23"/>
      <c r="N268" s="129"/>
      <c r="P268" s="16"/>
    </row>
    <row r="269" spans="2:16" ht="9.9499999999999993" customHeight="1">
      <c r="B269" s="151"/>
      <c r="C269" s="19"/>
      <c r="D269" s="20"/>
      <c r="E269" s="21"/>
      <c r="F269" s="20"/>
      <c r="G269" s="21"/>
      <c r="H269" s="20"/>
      <c r="I269" s="23"/>
      <c r="J269" s="24"/>
      <c r="K269" s="23"/>
      <c r="L269" s="24"/>
      <c r="M269" s="23"/>
      <c r="N269" s="129"/>
      <c r="P269" s="16"/>
    </row>
    <row r="270" spans="2:16" ht="9.9499999999999993" customHeight="1">
      <c r="B270" s="151"/>
      <c r="C270" s="19"/>
      <c r="D270" s="20"/>
      <c r="E270" s="21"/>
      <c r="F270" s="20"/>
      <c r="G270" s="21"/>
      <c r="H270" s="20"/>
      <c r="I270" s="23"/>
      <c r="J270" s="24"/>
      <c r="K270" s="23"/>
      <c r="L270" s="24"/>
      <c r="M270" s="23"/>
      <c r="N270" s="129"/>
      <c r="P270" s="16"/>
    </row>
    <row r="271" spans="2:16" ht="9.9499999999999993" customHeight="1">
      <c r="B271" s="151"/>
      <c r="C271" s="19"/>
      <c r="D271" s="20"/>
      <c r="E271" s="21"/>
      <c r="F271" s="20"/>
      <c r="G271" s="21"/>
      <c r="H271" s="20"/>
      <c r="I271" s="23"/>
      <c r="J271" s="24"/>
      <c r="K271" s="23"/>
      <c r="L271" s="24"/>
      <c r="M271" s="23"/>
      <c r="N271" s="129"/>
      <c r="P271" s="16"/>
    </row>
    <row r="272" spans="2:16" ht="9.9499999999999993" customHeight="1">
      <c r="B272" s="151"/>
      <c r="C272" s="19"/>
      <c r="D272" s="20"/>
      <c r="E272" s="21"/>
      <c r="F272" s="20"/>
      <c r="G272" s="21"/>
      <c r="H272" s="20"/>
      <c r="I272" s="23"/>
      <c r="J272" s="24"/>
      <c r="K272" s="23"/>
      <c r="L272" s="24"/>
      <c r="M272" s="23"/>
      <c r="N272" s="129"/>
      <c r="P272" s="16"/>
    </row>
    <row r="273" spans="2:18" ht="9.9499999999999993" customHeight="1">
      <c r="B273" s="151"/>
      <c r="C273" s="19"/>
      <c r="D273" s="20"/>
      <c r="E273" s="21"/>
      <c r="F273" s="20"/>
      <c r="G273" s="21"/>
      <c r="H273" s="20"/>
      <c r="I273" s="23"/>
      <c r="J273" s="24"/>
      <c r="K273" s="23"/>
      <c r="L273" s="24"/>
      <c r="M273" s="23"/>
      <c r="N273" s="129"/>
      <c r="P273" s="16"/>
    </row>
    <row r="274" spans="2:18" ht="9.9499999999999993" customHeight="1">
      <c r="B274" s="151"/>
      <c r="C274" s="19"/>
      <c r="D274" s="20"/>
      <c r="E274" s="21"/>
      <c r="F274" s="20"/>
      <c r="G274" s="21"/>
      <c r="H274" s="20"/>
      <c r="I274" s="23"/>
      <c r="J274" s="24"/>
      <c r="K274" s="23"/>
      <c r="L274" s="24"/>
      <c r="M274" s="23"/>
      <c r="N274" s="129"/>
      <c r="P274" s="16"/>
    </row>
    <row r="275" spans="2:18" ht="9.9499999999999993" customHeight="1">
      <c r="B275" s="151"/>
      <c r="C275" s="19"/>
      <c r="D275" s="20"/>
      <c r="E275" s="21"/>
      <c r="F275" s="20"/>
      <c r="G275" s="21"/>
      <c r="H275" s="20"/>
      <c r="I275" s="23"/>
      <c r="J275" s="24"/>
      <c r="K275" s="23"/>
      <c r="L275" s="24"/>
      <c r="M275" s="23"/>
      <c r="N275" s="129"/>
      <c r="P275" s="16"/>
    </row>
    <row r="276" spans="2:18" ht="9.9499999999999993" customHeight="1">
      <c r="B276" s="151"/>
      <c r="C276" s="19"/>
      <c r="D276" s="20"/>
      <c r="E276" s="21"/>
      <c r="F276" s="20"/>
      <c r="G276" s="21"/>
      <c r="H276" s="20"/>
      <c r="I276" s="23"/>
      <c r="J276" s="24"/>
      <c r="K276" s="23"/>
      <c r="L276" s="24"/>
      <c r="M276" s="23"/>
      <c r="N276" s="129"/>
      <c r="P276" s="16"/>
    </row>
    <row r="277" spans="2:18" ht="9.9499999999999993" customHeight="1">
      <c r="B277" s="151"/>
      <c r="C277" s="19"/>
      <c r="D277" s="20"/>
      <c r="E277" s="21"/>
      <c r="F277" s="20"/>
      <c r="G277" s="21"/>
      <c r="H277" s="20"/>
      <c r="I277" s="23"/>
      <c r="J277" s="24"/>
      <c r="K277" s="23"/>
      <c r="L277" s="24"/>
      <c r="M277" s="23"/>
      <c r="N277" s="129"/>
      <c r="P277" s="16"/>
    </row>
    <row r="278" spans="2:18" ht="9.9499999999999993" customHeight="1">
      <c r="B278" s="151"/>
      <c r="C278" s="19"/>
      <c r="D278" s="20"/>
      <c r="E278" s="21"/>
      <c r="F278" s="20"/>
      <c r="G278" s="21"/>
      <c r="H278" s="20"/>
      <c r="I278" s="23"/>
      <c r="J278" s="24"/>
      <c r="K278" s="23"/>
      <c r="L278" s="24"/>
      <c r="M278" s="23"/>
      <c r="N278" s="129"/>
      <c r="P278" s="16"/>
    </row>
    <row r="279" spans="2:18" ht="9.9499999999999993" customHeight="1">
      <c r="B279" s="151"/>
      <c r="C279" s="19"/>
      <c r="D279" s="20"/>
      <c r="E279" s="21"/>
      <c r="F279" s="20"/>
      <c r="G279" s="21"/>
      <c r="H279" s="20"/>
      <c r="I279" s="23"/>
      <c r="J279" s="24"/>
      <c r="K279" s="23"/>
      <c r="L279" s="24"/>
      <c r="M279" s="23"/>
      <c r="N279" s="129"/>
      <c r="P279" s="16"/>
    </row>
    <row r="280" spans="2:18" ht="9.9499999999999993" customHeight="1">
      <c r="B280" s="151"/>
      <c r="C280" s="19"/>
      <c r="D280" s="20"/>
      <c r="E280" s="21"/>
      <c r="F280" s="20"/>
      <c r="G280" s="21"/>
      <c r="H280" s="20"/>
      <c r="I280" s="23"/>
      <c r="J280" s="24"/>
      <c r="K280" s="23"/>
      <c r="L280" s="24"/>
      <c r="M280" s="23"/>
      <c r="N280" s="129"/>
      <c r="P280" s="16"/>
    </row>
    <row r="281" spans="2:18" ht="9.9499999999999993" customHeight="1">
      <c r="B281" s="151"/>
      <c r="C281" s="19"/>
      <c r="D281" s="20"/>
      <c r="E281" s="21"/>
      <c r="F281" s="20"/>
      <c r="G281" s="21"/>
      <c r="H281" s="20"/>
      <c r="I281" s="23"/>
      <c r="J281" s="24"/>
      <c r="K281" s="23"/>
      <c r="L281" s="24"/>
      <c r="M281" s="23"/>
      <c r="N281" s="129"/>
      <c r="P281" s="16"/>
    </row>
    <row r="282" spans="2:18" ht="9.9499999999999993" customHeight="1" thickBot="1">
      <c r="B282" s="153"/>
      <c r="C282" s="136"/>
      <c r="D282" s="131"/>
      <c r="E282" s="130"/>
      <c r="F282" s="131"/>
      <c r="G282" s="130"/>
      <c r="H282" s="131"/>
      <c r="I282" s="132"/>
      <c r="J282" s="133"/>
      <c r="K282" s="132"/>
      <c r="L282" s="133"/>
      <c r="M282" s="132"/>
      <c r="N282" s="134"/>
      <c r="P282" s="16"/>
    </row>
    <row r="283" spans="2:18" ht="9.9499999999999993" customHeight="1">
      <c r="D283" s="141">
        <f>SUMPRODUCT((C163:C282=O167)*(D163:D282))</f>
        <v>59</v>
      </c>
      <c r="E283" s="27"/>
      <c r="F283" s="141">
        <f>SUMPRODUCT((E163:E282=O167)*(F163:F282))</f>
        <v>0</v>
      </c>
      <c r="G283" s="27"/>
      <c r="H283" s="141">
        <f>SUMPRODUCT((G163:G282=O167)*(H163:H282))</f>
        <v>5.5</v>
      </c>
      <c r="I283" s="27"/>
      <c r="J283" s="143">
        <f>SUMPRODUCT((I163:I282=O167)*(J163:J282))</f>
        <v>29.5</v>
      </c>
      <c r="K283" s="27"/>
      <c r="L283" s="143">
        <f>SUMPRODUCT((K163:K282=O167)*(L163:L282))</f>
        <v>13</v>
      </c>
      <c r="M283" s="27"/>
      <c r="N283" s="143">
        <f>SUMPRODUCT((M163:M282=O167)*(N163:N282))</f>
        <v>0</v>
      </c>
      <c r="P283" s="16"/>
    </row>
    <row r="284" spans="2:18" ht="9.9499999999999993" customHeight="1" thickBot="1"/>
    <row r="285" spans="2:18" ht="35.1" customHeight="1" thickBot="1">
      <c r="B285" s="505">
        <v>2015</v>
      </c>
      <c r="C285" s="506"/>
      <c r="D285" s="506"/>
      <c r="E285" s="506"/>
      <c r="F285" s="506"/>
      <c r="G285" s="506"/>
      <c r="H285" s="506"/>
      <c r="I285" s="506"/>
      <c r="J285" s="506"/>
      <c r="K285" s="506"/>
      <c r="L285" s="506"/>
      <c r="M285" s="506"/>
      <c r="N285" s="507"/>
      <c r="P285" s="46" t="s">
        <v>1258</v>
      </c>
      <c r="Q285" s="29" t="s">
        <v>1259</v>
      </c>
      <c r="R285" s="29">
        <v>2015</v>
      </c>
    </row>
    <row r="286" spans="2:18" ht="9.9499999999999993" customHeight="1">
      <c r="B286" s="144">
        <v>42025</v>
      </c>
      <c r="C286" s="122" t="s">
        <v>1250</v>
      </c>
      <c r="D286" s="123">
        <v>4</v>
      </c>
      <c r="E286" s="124"/>
      <c r="F286" s="123"/>
      <c r="G286" s="124"/>
      <c r="H286" s="125"/>
      <c r="I286" s="126" t="s">
        <v>1250</v>
      </c>
      <c r="J286" s="127">
        <v>8</v>
      </c>
      <c r="K286" s="126"/>
      <c r="L286" s="127"/>
      <c r="M286" s="126"/>
      <c r="N286" s="128"/>
      <c r="O286" s="172" t="s">
        <v>828</v>
      </c>
      <c r="P286" s="14">
        <f>SUM(D286:D380)+SUM(F286:F380)+SUM(H286:H380)</f>
        <v>368.16</v>
      </c>
      <c r="Q286" s="14">
        <v>45</v>
      </c>
      <c r="R286" s="14">
        <f>P286*Q286</f>
        <v>16567.2</v>
      </c>
    </row>
    <row r="287" spans="2:18" ht="9.9499999999999993" customHeight="1">
      <c r="B287" s="151">
        <v>42026</v>
      </c>
      <c r="C287" s="19"/>
      <c r="D287" s="20"/>
      <c r="E287" s="21"/>
      <c r="F287" s="20"/>
      <c r="G287" s="21"/>
      <c r="H287" s="22"/>
      <c r="I287" s="23" t="s">
        <v>1250</v>
      </c>
      <c r="J287" s="24">
        <v>6</v>
      </c>
      <c r="K287" s="23"/>
      <c r="L287" s="24"/>
      <c r="M287" s="23"/>
      <c r="N287" s="129"/>
      <c r="O287" s="173" t="s">
        <v>1149</v>
      </c>
      <c r="P287" s="15">
        <f>SUM(J286:J380)+SUM(L286:L380)+SUM(N286:N380)</f>
        <v>410.56629999999996</v>
      </c>
      <c r="Q287" s="15">
        <v>40</v>
      </c>
      <c r="R287" s="15">
        <f>P287*Q287</f>
        <v>16422.651999999998</v>
      </c>
    </row>
    <row r="288" spans="2:18" ht="9.9499999999999993" customHeight="1">
      <c r="B288" s="151">
        <v>42027</v>
      </c>
      <c r="C288" s="19"/>
      <c r="D288" s="20"/>
      <c r="E288" s="21"/>
      <c r="F288" s="20"/>
      <c r="G288" s="21"/>
      <c r="H288" s="22"/>
      <c r="I288" s="23" t="s">
        <v>1250</v>
      </c>
      <c r="J288" s="24">
        <v>3</v>
      </c>
      <c r="K288" s="23"/>
      <c r="L288" s="24"/>
      <c r="M288" s="23"/>
      <c r="N288" s="129"/>
      <c r="P288" s="16"/>
      <c r="Q288" s="16"/>
      <c r="R288" s="502">
        <f>R286+R287</f>
        <v>32989.851999999999</v>
      </c>
    </row>
    <row r="289" spans="2:18" ht="9.9499999999999993" customHeight="1">
      <c r="B289" s="151">
        <v>42030</v>
      </c>
      <c r="C289" s="19" t="s">
        <v>1251</v>
      </c>
      <c r="D289" s="20">
        <v>1.5</v>
      </c>
      <c r="E289" s="21"/>
      <c r="F289" s="20"/>
      <c r="G289" s="21"/>
      <c r="H289" s="22"/>
      <c r="I289" s="23"/>
      <c r="J289" s="24"/>
      <c r="K289" s="23"/>
      <c r="L289" s="24"/>
      <c r="M289" s="23"/>
      <c r="N289" s="129"/>
      <c r="P289" s="16"/>
      <c r="Q289" s="16"/>
      <c r="R289" s="503"/>
    </row>
    <row r="290" spans="2:18" ht="9.9499999999999993" customHeight="1">
      <c r="B290" s="151">
        <v>42032</v>
      </c>
      <c r="C290" s="19" t="s">
        <v>1251</v>
      </c>
      <c r="D290" s="20">
        <v>5</v>
      </c>
      <c r="E290" s="21"/>
      <c r="F290" s="20"/>
      <c r="G290" s="21"/>
      <c r="H290" s="22"/>
      <c r="I290" s="23"/>
      <c r="J290" s="24"/>
      <c r="K290" s="23"/>
      <c r="L290" s="24"/>
      <c r="M290" s="23"/>
      <c r="N290" s="129"/>
      <c r="O290" s="498" t="str">
        <f>T11</f>
        <v>volkswagen</v>
      </c>
      <c r="P290" s="29"/>
    </row>
    <row r="291" spans="2:18" ht="9.9499999999999993" customHeight="1">
      <c r="B291" s="151">
        <v>42033</v>
      </c>
      <c r="C291" s="19" t="s">
        <v>1250</v>
      </c>
      <c r="D291" s="20">
        <v>4</v>
      </c>
      <c r="E291" s="21"/>
      <c r="F291" s="20"/>
      <c r="G291" s="21"/>
      <c r="H291" s="22"/>
      <c r="I291" s="23"/>
      <c r="J291" s="24"/>
      <c r="K291" s="23"/>
      <c r="L291" s="24"/>
      <c r="M291" s="23"/>
      <c r="N291" s="129"/>
      <c r="O291" s="499"/>
    </row>
    <row r="292" spans="2:18" ht="9.9499999999999993" customHeight="1">
      <c r="B292" s="151">
        <v>42034</v>
      </c>
      <c r="C292" s="19"/>
      <c r="D292" s="20"/>
      <c r="E292" s="21"/>
      <c r="F292" s="20"/>
      <c r="G292" s="21"/>
      <c r="H292" s="22"/>
      <c r="I292" s="23" t="s">
        <v>1250</v>
      </c>
      <c r="J292" s="24">
        <v>4</v>
      </c>
      <c r="K292" s="23"/>
      <c r="L292" s="24"/>
      <c r="M292" s="23"/>
      <c r="N292" s="129"/>
    </row>
    <row r="293" spans="2:18" ht="9.9499999999999993" customHeight="1">
      <c r="B293" s="151">
        <v>42037</v>
      </c>
      <c r="C293" s="19" t="s">
        <v>1250</v>
      </c>
      <c r="D293" s="20">
        <v>6.5</v>
      </c>
      <c r="E293" s="21"/>
      <c r="F293" s="20"/>
      <c r="G293" s="21"/>
      <c r="H293" s="22"/>
      <c r="I293" s="23" t="s">
        <v>1250</v>
      </c>
      <c r="J293" s="24">
        <v>8</v>
      </c>
      <c r="K293" s="23"/>
      <c r="L293" s="24"/>
      <c r="M293" s="23"/>
      <c r="N293" s="129"/>
      <c r="O293" s="172" t="s">
        <v>828</v>
      </c>
      <c r="P293" s="14">
        <f>SUM(D381+F381+H381)</f>
        <v>0</v>
      </c>
      <c r="Q293" s="14">
        <f>Q286</f>
        <v>45</v>
      </c>
      <c r="R293" s="14">
        <f>P293*Q293</f>
        <v>0</v>
      </c>
    </row>
    <row r="294" spans="2:18" ht="9.9499999999999993" customHeight="1">
      <c r="B294" s="151">
        <v>42038</v>
      </c>
      <c r="C294" s="19"/>
      <c r="D294" s="20"/>
      <c r="E294" s="21"/>
      <c r="F294" s="20"/>
      <c r="G294" s="21"/>
      <c r="H294" s="22"/>
      <c r="I294" s="23" t="s">
        <v>1250</v>
      </c>
      <c r="J294" s="24">
        <v>8</v>
      </c>
      <c r="K294" s="23"/>
      <c r="L294" s="24"/>
      <c r="M294" s="23"/>
      <c r="N294" s="129"/>
      <c r="O294" s="173" t="s">
        <v>1149</v>
      </c>
      <c r="P294" s="17">
        <f>SUM(J381+L381+N381)</f>
        <v>0</v>
      </c>
      <c r="Q294" s="17">
        <f>Q287</f>
        <v>40</v>
      </c>
      <c r="R294" s="17">
        <f>P294*Q294</f>
        <v>0</v>
      </c>
    </row>
    <row r="295" spans="2:18" ht="9.9499999999999993" customHeight="1">
      <c r="B295" s="151">
        <v>42059</v>
      </c>
      <c r="C295" s="19"/>
      <c r="D295" s="20"/>
      <c r="E295" s="21"/>
      <c r="F295" s="20"/>
      <c r="G295" s="21"/>
      <c r="H295" s="22"/>
      <c r="I295" s="23" t="s">
        <v>1250</v>
      </c>
      <c r="J295" s="24">
        <v>4</v>
      </c>
      <c r="K295" s="23"/>
      <c r="L295" s="24"/>
      <c r="M295" s="23"/>
      <c r="N295" s="129"/>
      <c r="P295" s="13"/>
      <c r="Q295" s="13"/>
      <c r="R295" s="504">
        <f>R293+R294</f>
        <v>0</v>
      </c>
    </row>
    <row r="296" spans="2:18" ht="9.9499999999999993" customHeight="1">
      <c r="B296" s="151">
        <v>42060</v>
      </c>
      <c r="C296" s="19"/>
      <c r="D296" s="20"/>
      <c r="E296" s="21"/>
      <c r="F296" s="20"/>
      <c r="G296" s="21"/>
      <c r="H296" s="22"/>
      <c r="I296" s="23" t="s">
        <v>1250</v>
      </c>
      <c r="J296" s="24">
        <v>4</v>
      </c>
      <c r="K296" s="23"/>
      <c r="L296" s="24"/>
      <c r="M296" s="23"/>
      <c r="N296" s="129"/>
      <c r="P296" s="13"/>
      <c r="Q296" s="13"/>
      <c r="R296" s="501"/>
    </row>
    <row r="297" spans="2:18" ht="9.9499999999999993" customHeight="1">
      <c r="B297" s="151">
        <v>42061</v>
      </c>
      <c r="C297" s="19"/>
      <c r="D297" s="20"/>
      <c r="E297" s="21"/>
      <c r="F297" s="20"/>
      <c r="G297" s="21"/>
      <c r="H297" s="22"/>
      <c r="I297" s="23" t="s">
        <v>1250</v>
      </c>
      <c r="J297" s="24">
        <v>8</v>
      </c>
      <c r="K297" s="23"/>
      <c r="L297" s="24"/>
      <c r="M297" s="23"/>
      <c r="N297" s="129"/>
    </row>
    <row r="298" spans="2:18" ht="9.9499999999999993" customHeight="1">
      <c r="B298" s="151">
        <v>42065</v>
      </c>
      <c r="C298" s="19"/>
      <c r="D298" s="20"/>
      <c r="E298" s="21"/>
      <c r="F298" s="20"/>
      <c r="G298" s="21"/>
      <c r="H298" s="22"/>
      <c r="I298" s="23" t="s">
        <v>1250</v>
      </c>
      <c r="J298" s="24">
        <v>8</v>
      </c>
      <c r="K298" s="23"/>
      <c r="L298" s="24"/>
      <c r="M298" s="23"/>
      <c r="N298" s="129"/>
    </row>
    <row r="299" spans="2:18" ht="9.9499999999999993" customHeight="1">
      <c r="B299" s="151">
        <v>42066</v>
      </c>
      <c r="C299" s="19"/>
      <c r="D299" s="20"/>
      <c r="E299" s="21"/>
      <c r="F299" s="20"/>
      <c r="G299" s="21"/>
      <c r="H299" s="22"/>
      <c r="I299" s="23" t="s">
        <v>1250</v>
      </c>
      <c r="J299" s="24">
        <v>4</v>
      </c>
      <c r="K299" s="23"/>
      <c r="L299" s="24"/>
      <c r="M299" s="23"/>
      <c r="N299" s="129"/>
    </row>
    <row r="300" spans="2:18" ht="9.9499999999999993" customHeight="1">
      <c r="B300" s="151">
        <v>42072</v>
      </c>
      <c r="C300" s="19"/>
      <c r="D300" s="20"/>
      <c r="E300" s="21" t="s">
        <v>1250</v>
      </c>
      <c r="F300" s="20">
        <v>5.5</v>
      </c>
      <c r="G300" s="21"/>
      <c r="H300" s="22"/>
      <c r="I300" s="23"/>
      <c r="J300" s="24"/>
      <c r="K300" s="23"/>
      <c r="L300" s="24"/>
      <c r="M300" s="23"/>
      <c r="N300" s="129"/>
    </row>
    <row r="301" spans="2:18" ht="9.9499999999999993" customHeight="1">
      <c r="B301" s="151">
        <v>42102</v>
      </c>
      <c r="C301" s="19" t="s">
        <v>1250</v>
      </c>
      <c r="D301" s="20">
        <v>0.5</v>
      </c>
      <c r="E301" s="21"/>
      <c r="F301" s="20"/>
      <c r="G301" s="21"/>
      <c r="H301" s="22"/>
      <c r="I301" s="23"/>
      <c r="J301" s="24"/>
      <c r="K301" s="23"/>
      <c r="L301" s="24"/>
      <c r="M301" s="23"/>
      <c r="N301" s="129"/>
    </row>
    <row r="302" spans="2:18" ht="9.9499999999999993" customHeight="1">
      <c r="B302" s="151">
        <v>42103</v>
      </c>
      <c r="C302" s="19" t="s">
        <v>1250</v>
      </c>
      <c r="D302" s="20">
        <v>6.25</v>
      </c>
      <c r="E302" s="21"/>
      <c r="F302" s="20"/>
      <c r="G302" s="21"/>
      <c r="H302" s="22"/>
      <c r="I302" s="23"/>
      <c r="J302" s="24"/>
      <c r="K302" s="23"/>
      <c r="L302" s="24"/>
      <c r="M302" s="23"/>
      <c r="N302" s="129"/>
    </row>
    <row r="303" spans="2:18" ht="9.9499999999999993" customHeight="1">
      <c r="B303" s="151">
        <v>42104</v>
      </c>
      <c r="C303" s="19" t="s">
        <v>1250</v>
      </c>
      <c r="D303" s="20">
        <v>4</v>
      </c>
      <c r="E303" s="21"/>
      <c r="F303" s="20"/>
      <c r="G303" s="21"/>
      <c r="H303" s="22"/>
      <c r="I303" s="23"/>
      <c r="J303" s="24"/>
      <c r="K303" s="23"/>
      <c r="L303" s="24"/>
      <c r="M303" s="23"/>
      <c r="N303" s="129"/>
    </row>
    <row r="304" spans="2:18" ht="9.9499999999999993" customHeight="1">
      <c r="B304" s="151">
        <v>42107</v>
      </c>
      <c r="C304" s="19" t="s">
        <v>1250</v>
      </c>
      <c r="D304" s="20">
        <v>7</v>
      </c>
      <c r="E304" s="21"/>
      <c r="F304" s="20"/>
      <c r="G304" s="21"/>
      <c r="H304" s="22"/>
      <c r="I304" s="23" t="s">
        <v>1250</v>
      </c>
      <c r="J304" s="24">
        <v>8</v>
      </c>
      <c r="K304" s="23"/>
      <c r="L304" s="24"/>
      <c r="M304" s="23"/>
      <c r="N304" s="129"/>
    </row>
    <row r="305" spans="2:14" ht="9.9499999999999993" customHeight="1">
      <c r="B305" s="151">
        <v>42108</v>
      </c>
      <c r="C305" s="19" t="s">
        <v>1250</v>
      </c>
      <c r="D305" s="20">
        <v>8</v>
      </c>
      <c r="E305" s="21"/>
      <c r="F305" s="20"/>
      <c r="G305" s="21"/>
      <c r="H305" s="22"/>
      <c r="I305" s="23" t="s">
        <v>1250</v>
      </c>
      <c r="J305" s="24">
        <v>8</v>
      </c>
      <c r="K305" s="23"/>
      <c r="L305" s="24"/>
      <c r="M305" s="23"/>
      <c r="N305" s="129"/>
    </row>
    <row r="306" spans="2:14" ht="9.9499999999999993" customHeight="1">
      <c r="B306" s="151">
        <v>42109</v>
      </c>
      <c r="C306" s="19"/>
      <c r="D306" s="20"/>
      <c r="E306" s="21"/>
      <c r="F306" s="20"/>
      <c r="G306" s="21"/>
      <c r="H306" s="22"/>
      <c r="I306" s="23" t="s">
        <v>1250</v>
      </c>
      <c r="J306" s="24">
        <v>8</v>
      </c>
      <c r="K306" s="23"/>
      <c r="L306" s="24"/>
      <c r="M306" s="23"/>
      <c r="N306" s="129"/>
    </row>
    <row r="307" spans="2:14" ht="9.9499999999999993" customHeight="1">
      <c r="B307" s="151">
        <v>42110</v>
      </c>
      <c r="C307" s="19"/>
      <c r="D307" s="20"/>
      <c r="E307" s="21"/>
      <c r="F307" s="20"/>
      <c r="G307" s="21"/>
      <c r="H307" s="22"/>
      <c r="I307" s="23" t="s">
        <v>1250</v>
      </c>
      <c r="J307" s="24">
        <v>7.5</v>
      </c>
      <c r="K307" s="23"/>
      <c r="L307" s="24"/>
      <c r="M307" s="23"/>
      <c r="N307" s="129"/>
    </row>
    <row r="308" spans="2:14" ht="9.9499999999999993" customHeight="1">
      <c r="B308" s="151">
        <v>42111</v>
      </c>
      <c r="C308" s="19"/>
      <c r="D308" s="20"/>
      <c r="E308" s="21"/>
      <c r="F308" s="20"/>
      <c r="G308" s="21"/>
      <c r="H308" s="22"/>
      <c r="I308" s="23" t="s">
        <v>1250</v>
      </c>
      <c r="J308" s="24">
        <v>4</v>
      </c>
      <c r="K308" s="23"/>
      <c r="L308" s="24"/>
      <c r="M308" s="23"/>
      <c r="N308" s="129"/>
    </row>
    <row r="309" spans="2:14" ht="9.9499999999999993" customHeight="1">
      <c r="B309" s="151">
        <v>42114</v>
      </c>
      <c r="C309" s="19"/>
      <c r="D309" s="20"/>
      <c r="E309" s="21"/>
      <c r="F309" s="20"/>
      <c r="G309" s="21"/>
      <c r="H309" s="22"/>
      <c r="I309" s="23" t="s">
        <v>1250</v>
      </c>
      <c r="J309" s="24">
        <v>8</v>
      </c>
      <c r="K309" s="23"/>
      <c r="L309" s="24"/>
      <c r="M309" s="23"/>
      <c r="N309" s="129"/>
    </row>
    <row r="310" spans="2:14" ht="9.9499999999999993" customHeight="1">
      <c r="B310" s="151">
        <v>42115</v>
      </c>
      <c r="C310" s="19"/>
      <c r="D310" s="20"/>
      <c r="E310" s="21"/>
      <c r="F310" s="20"/>
      <c r="G310" s="21"/>
      <c r="H310" s="22"/>
      <c r="I310" s="23" t="s">
        <v>1250</v>
      </c>
      <c r="J310" s="24">
        <v>8</v>
      </c>
      <c r="K310" s="23"/>
      <c r="L310" s="24"/>
      <c r="M310" s="23"/>
      <c r="N310" s="129"/>
    </row>
    <row r="311" spans="2:14" ht="9.9499999999999993" customHeight="1">
      <c r="B311" s="151">
        <v>42116</v>
      </c>
      <c r="C311" s="19"/>
      <c r="D311" s="20"/>
      <c r="E311" s="21"/>
      <c r="F311" s="20"/>
      <c r="G311" s="21" t="s">
        <v>1252</v>
      </c>
      <c r="H311" s="22">
        <v>2.5</v>
      </c>
      <c r="I311" s="23" t="s">
        <v>1250</v>
      </c>
      <c r="J311" s="24">
        <v>6.5</v>
      </c>
      <c r="K311" s="23"/>
      <c r="L311" s="24"/>
      <c r="M311" s="23"/>
      <c r="N311" s="129"/>
    </row>
    <row r="312" spans="2:14" ht="9.9499999999999993" customHeight="1">
      <c r="B312" s="151">
        <v>42117</v>
      </c>
      <c r="C312" s="19"/>
      <c r="D312" s="20"/>
      <c r="E312" s="21" t="s">
        <v>1252</v>
      </c>
      <c r="F312" s="20">
        <v>1</v>
      </c>
      <c r="G312" s="21" t="s">
        <v>1250</v>
      </c>
      <c r="H312" s="22">
        <v>2.5</v>
      </c>
      <c r="I312" s="23" t="s">
        <v>1250</v>
      </c>
      <c r="J312" s="24">
        <v>3</v>
      </c>
      <c r="K312" s="23"/>
      <c r="L312" s="24"/>
      <c r="M312" s="23"/>
      <c r="N312" s="129"/>
    </row>
    <row r="313" spans="2:14" ht="9.9499999999999993" customHeight="1">
      <c r="B313" s="151">
        <v>42118</v>
      </c>
      <c r="C313" s="19" t="s">
        <v>1250</v>
      </c>
      <c r="D313" s="20">
        <v>1</v>
      </c>
      <c r="E313" s="21"/>
      <c r="F313" s="20"/>
      <c r="G313" s="21"/>
      <c r="H313" s="22"/>
      <c r="I313" s="23"/>
      <c r="J313" s="24"/>
      <c r="K313" s="23"/>
      <c r="L313" s="24"/>
      <c r="M313" s="23"/>
      <c r="N313" s="129"/>
    </row>
    <row r="314" spans="2:14" ht="9.9499999999999993" customHeight="1">
      <c r="B314" s="151">
        <v>42149</v>
      </c>
      <c r="C314" s="19" t="s">
        <v>1250</v>
      </c>
      <c r="D314" s="20">
        <v>3.25</v>
      </c>
      <c r="E314" s="21" t="s">
        <v>1253</v>
      </c>
      <c r="F314" s="20">
        <v>0.75</v>
      </c>
      <c r="G314" s="21"/>
      <c r="H314" s="22"/>
      <c r="I314" s="23" t="s">
        <v>1250</v>
      </c>
      <c r="J314" s="24">
        <v>0.5</v>
      </c>
      <c r="K314" s="23"/>
      <c r="L314" s="24"/>
      <c r="M314" s="23"/>
      <c r="N314" s="129"/>
    </row>
    <row r="315" spans="2:14" ht="9.9499999999999993" customHeight="1">
      <c r="B315" s="151">
        <v>42178</v>
      </c>
      <c r="C315" s="19"/>
      <c r="D315" s="20"/>
      <c r="E315" s="21"/>
      <c r="F315" s="20"/>
      <c r="G315" s="21" t="s">
        <v>1248</v>
      </c>
      <c r="H315" s="22">
        <v>0.5</v>
      </c>
      <c r="I315" s="23"/>
      <c r="J315" s="24"/>
      <c r="K315" s="23"/>
      <c r="L315" s="24"/>
      <c r="M315" s="23"/>
      <c r="N315" s="129"/>
    </row>
    <row r="316" spans="2:14" ht="9.9499999999999993" customHeight="1">
      <c r="B316" s="151">
        <v>42184</v>
      </c>
      <c r="C316" s="19"/>
      <c r="D316" s="20"/>
      <c r="E316" s="21"/>
      <c r="F316" s="20"/>
      <c r="G316" s="21"/>
      <c r="H316" s="22"/>
      <c r="I316" s="23" t="s">
        <v>1248</v>
      </c>
      <c r="J316" s="24">
        <v>5.8330000000000002</v>
      </c>
      <c r="K316" s="23"/>
      <c r="L316" s="24"/>
      <c r="M316" s="23"/>
      <c r="N316" s="129"/>
    </row>
    <row r="317" spans="2:14" ht="9.9499999999999993" customHeight="1">
      <c r="B317" s="151">
        <v>42213</v>
      </c>
      <c r="C317" s="19" t="s">
        <v>1250</v>
      </c>
      <c r="D317" s="20">
        <v>8</v>
      </c>
      <c r="E317" s="21"/>
      <c r="F317" s="20"/>
      <c r="G317" s="21"/>
      <c r="H317" s="22"/>
      <c r="I317" s="23" t="s">
        <v>1250</v>
      </c>
      <c r="J317" s="24">
        <v>8</v>
      </c>
      <c r="K317" s="23"/>
      <c r="L317" s="24"/>
      <c r="M317" s="23"/>
      <c r="N317" s="129"/>
    </row>
    <row r="318" spans="2:14" ht="9.9499999999999993" customHeight="1">
      <c r="B318" s="151">
        <v>42214</v>
      </c>
      <c r="C318" s="19" t="s">
        <v>1250</v>
      </c>
      <c r="D318" s="20">
        <v>9</v>
      </c>
      <c r="E318" s="21"/>
      <c r="F318" s="20"/>
      <c r="G318" s="21"/>
      <c r="H318" s="22"/>
      <c r="I318" s="23" t="s">
        <v>1250</v>
      </c>
      <c r="J318" s="24">
        <v>9</v>
      </c>
      <c r="K318" s="23"/>
      <c r="L318" s="24"/>
      <c r="M318" s="23"/>
      <c r="N318" s="129"/>
    </row>
    <row r="319" spans="2:14" ht="9.9499999999999993" customHeight="1">
      <c r="B319" s="151">
        <v>42215</v>
      </c>
      <c r="C319" s="19" t="s">
        <v>1250</v>
      </c>
      <c r="D319" s="20">
        <v>8</v>
      </c>
      <c r="E319" s="21"/>
      <c r="F319" s="20"/>
      <c r="G319" s="21"/>
      <c r="H319" s="22"/>
      <c r="I319" s="23" t="s">
        <v>1250</v>
      </c>
      <c r="J319" s="24">
        <v>8</v>
      </c>
      <c r="K319" s="23"/>
      <c r="L319" s="24"/>
      <c r="M319" s="23"/>
      <c r="N319" s="129"/>
    </row>
    <row r="320" spans="2:14" ht="9.9499999999999993" customHeight="1">
      <c r="B320" s="151">
        <v>42219</v>
      </c>
      <c r="C320" s="19" t="s">
        <v>1250</v>
      </c>
      <c r="D320" s="20">
        <v>8</v>
      </c>
      <c r="E320" s="21"/>
      <c r="F320" s="20"/>
      <c r="G320" s="21"/>
      <c r="H320" s="22"/>
      <c r="I320" s="23" t="s">
        <v>1250</v>
      </c>
      <c r="J320" s="24">
        <v>8</v>
      </c>
      <c r="K320" s="23"/>
      <c r="L320" s="24"/>
      <c r="M320" s="23"/>
      <c r="N320" s="129"/>
    </row>
    <row r="321" spans="2:14" ht="9.9499999999999993" customHeight="1">
      <c r="B321" s="151">
        <v>42220</v>
      </c>
      <c r="C321" s="19"/>
      <c r="D321" s="20"/>
      <c r="E321" s="21"/>
      <c r="F321" s="20"/>
      <c r="G321" s="21"/>
      <c r="H321" s="22"/>
      <c r="I321" s="23" t="s">
        <v>1250</v>
      </c>
      <c r="J321" s="24">
        <v>8</v>
      </c>
      <c r="K321" s="23"/>
      <c r="L321" s="24"/>
      <c r="M321" s="23"/>
      <c r="N321" s="129"/>
    </row>
    <row r="322" spans="2:14" ht="9.9499999999999993" customHeight="1">
      <c r="B322" s="151">
        <v>42221</v>
      </c>
      <c r="C322" s="19" t="s">
        <v>1250</v>
      </c>
      <c r="D322" s="20">
        <v>9</v>
      </c>
      <c r="E322" s="21"/>
      <c r="F322" s="20"/>
      <c r="G322" s="21"/>
      <c r="H322" s="22"/>
      <c r="I322" s="23" t="s">
        <v>1250</v>
      </c>
      <c r="J322" s="24">
        <v>9</v>
      </c>
      <c r="K322" s="23"/>
      <c r="L322" s="24"/>
      <c r="M322" s="23"/>
      <c r="N322" s="129"/>
    </row>
    <row r="323" spans="2:14" ht="9.9499999999999993" customHeight="1">
      <c r="B323" s="151">
        <v>42222</v>
      </c>
      <c r="C323" s="19" t="s">
        <v>1250</v>
      </c>
      <c r="D323" s="20">
        <v>8</v>
      </c>
      <c r="E323" s="21"/>
      <c r="F323" s="20"/>
      <c r="G323" s="21"/>
      <c r="H323" s="22"/>
      <c r="I323" s="23" t="s">
        <v>1250</v>
      </c>
      <c r="J323" s="24">
        <v>8</v>
      </c>
      <c r="K323" s="23"/>
      <c r="L323" s="24"/>
      <c r="M323" s="23"/>
      <c r="N323" s="129"/>
    </row>
    <row r="324" spans="2:14" ht="9.9499999999999993" customHeight="1">
      <c r="B324" s="151">
        <v>42223</v>
      </c>
      <c r="C324" s="19" t="s">
        <v>1250</v>
      </c>
      <c r="D324" s="20">
        <v>8</v>
      </c>
      <c r="E324" s="21"/>
      <c r="F324" s="20"/>
      <c r="G324" s="21"/>
      <c r="H324" s="22"/>
      <c r="I324" s="23" t="s">
        <v>1250</v>
      </c>
      <c r="J324" s="24">
        <v>8</v>
      </c>
      <c r="K324" s="23"/>
      <c r="L324" s="24"/>
      <c r="M324" s="23"/>
      <c r="N324" s="129"/>
    </row>
    <row r="325" spans="2:14" ht="9.9499999999999993" customHeight="1">
      <c r="B325" s="151">
        <v>42226</v>
      </c>
      <c r="C325" s="19" t="s">
        <v>1250</v>
      </c>
      <c r="D325" s="20">
        <v>8</v>
      </c>
      <c r="E325" s="21"/>
      <c r="F325" s="20"/>
      <c r="G325" s="21"/>
      <c r="H325" s="22"/>
      <c r="I325" s="23" t="s">
        <v>1250</v>
      </c>
      <c r="J325" s="24">
        <v>8</v>
      </c>
      <c r="K325" s="23"/>
      <c r="L325" s="24"/>
      <c r="M325" s="23"/>
      <c r="N325" s="129"/>
    </row>
    <row r="326" spans="2:14" ht="9.9499999999999993" customHeight="1">
      <c r="B326" s="151">
        <v>42227</v>
      </c>
      <c r="C326" s="19"/>
      <c r="D326" s="20"/>
      <c r="E326" s="21"/>
      <c r="F326" s="20"/>
      <c r="G326" s="21"/>
      <c r="H326" s="22"/>
      <c r="I326" s="23" t="s">
        <v>1250</v>
      </c>
      <c r="J326" s="24">
        <v>8</v>
      </c>
      <c r="K326" s="23"/>
      <c r="L326" s="24"/>
      <c r="M326" s="23"/>
      <c r="N326" s="129"/>
    </row>
    <row r="327" spans="2:14" ht="9.9499999999999993" customHeight="1">
      <c r="B327" s="151">
        <v>42228</v>
      </c>
      <c r="C327" s="19" t="s">
        <v>1250</v>
      </c>
      <c r="D327" s="20">
        <v>8.5</v>
      </c>
      <c r="E327" s="21"/>
      <c r="F327" s="20"/>
      <c r="G327" s="21"/>
      <c r="H327" s="22"/>
      <c r="I327" s="23" t="s">
        <v>1250</v>
      </c>
      <c r="J327" s="24">
        <v>8.5</v>
      </c>
      <c r="K327" s="23"/>
      <c r="L327" s="24"/>
      <c r="M327" s="23"/>
      <c r="N327" s="129"/>
    </row>
    <row r="328" spans="2:14" ht="9.9499999999999993" customHeight="1">
      <c r="B328" s="151">
        <v>42229</v>
      </c>
      <c r="C328" s="19" t="s">
        <v>1250</v>
      </c>
      <c r="D328" s="20">
        <v>7.5</v>
      </c>
      <c r="E328" s="21"/>
      <c r="F328" s="20"/>
      <c r="G328" s="21"/>
      <c r="H328" s="22"/>
      <c r="I328" s="23" t="s">
        <v>1250</v>
      </c>
      <c r="J328" s="24">
        <v>7.5</v>
      </c>
      <c r="K328" s="23"/>
      <c r="L328" s="24"/>
      <c r="M328" s="23"/>
      <c r="N328" s="129"/>
    </row>
    <row r="329" spans="2:14" ht="9.9499999999999993" customHeight="1">
      <c r="B329" s="151">
        <v>42230</v>
      </c>
      <c r="C329" s="19" t="s">
        <v>1250</v>
      </c>
      <c r="D329" s="20">
        <v>7.5</v>
      </c>
      <c r="E329" s="21"/>
      <c r="F329" s="20"/>
      <c r="G329" s="21"/>
      <c r="H329" s="22"/>
      <c r="I329" s="23" t="s">
        <v>1250</v>
      </c>
      <c r="J329" s="24">
        <v>7.25</v>
      </c>
      <c r="K329" s="23"/>
      <c r="L329" s="24"/>
      <c r="M329" s="23"/>
      <c r="N329" s="129"/>
    </row>
    <row r="330" spans="2:14" ht="9.9499999999999993" customHeight="1">
      <c r="B330" s="151">
        <v>42233</v>
      </c>
      <c r="C330" s="19" t="s">
        <v>1250</v>
      </c>
      <c r="D330" s="20">
        <v>8</v>
      </c>
      <c r="E330" s="21"/>
      <c r="F330" s="20"/>
      <c r="G330" s="21"/>
      <c r="H330" s="22"/>
      <c r="I330" s="23" t="s">
        <v>1250</v>
      </c>
      <c r="J330" s="24">
        <v>8</v>
      </c>
      <c r="K330" s="23"/>
      <c r="L330" s="24"/>
      <c r="M330" s="23"/>
      <c r="N330" s="129"/>
    </row>
    <row r="331" spans="2:14" ht="9.9499999999999993" customHeight="1">
      <c r="B331" s="151">
        <v>42234</v>
      </c>
      <c r="C331" s="19" t="s">
        <v>1250</v>
      </c>
      <c r="D331" s="20">
        <v>8</v>
      </c>
      <c r="E331" s="21"/>
      <c r="F331" s="20"/>
      <c r="G331" s="21"/>
      <c r="H331" s="22"/>
      <c r="I331" s="23" t="s">
        <v>1250</v>
      </c>
      <c r="J331" s="24">
        <v>9</v>
      </c>
      <c r="K331" s="23"/>
      <c r="L331" s="24"/>
      <c r="M331" s="23"/>
      <c r="N331" s="129"/>
    </row>
    <row r="332" spans="2:14" ht="9.9499999999999993" customHeight="1">
      <c r="B332" s="151">
        <v>42235</v>
      </c>
      <c r="C332" s="19" t="s">
        <v>1250</v>
      </c>
      <c r="D332" s="20">
        <v>8</v>
      </c>
      <c r="E332" s="21"/>
      <c r="F332" s="20"/>
      <c r="G332" s="21"/>
      <c r="H332" s="22"/>
      <c r="I332" s="23" t="s">
        <v>1250</v>
      </c>
      <c r="J332" s="24">
        <v>8.66</v>
      </c>
      <c r="K332" s="23"/>
      <c r="L332" s="24"/>
      <c r="M332" s="23"/>
      <c r="N332" s="129"/>
    </row>
    <row r="333" spans="2:14" ht="9.9499999999999993" customHeight="1">
      <c r="B333" s="151">
        <v>42236</v>
      </c>
      <c r="C333" s="19" t="s">
        <v>1250</v>
      </c>
      <c r="D333" s="20">
        <v>4.75</v>
      </c>
      <c r="E333" s="21"/>
      <c r="F333" s="20"/>
      <c r="G333" s="21"/>
      <c r="H333" s="22"/>
      <c r="I333" s="23" t="s">
        <v>1250</v>
      </c>
      <c r="J333" s="24">
        <v>4.75</v>
      </c>
      <c r="K333" s="23"/>
      <c r="L333" s="24"/>
      <c r="M333" s="23"/>
      <c r="N333" s="129"/>
    </row>
    <row r="334" spans="2:14" ht="9.9499999999999993" customHeight="1">
      <c r="B334" s="151">
        <v>42237</v>
      </c>
      <c r="C334" s="19" t="s">
        <v>1254</v>
      </c>
      <c r="D334" s="20">
        <v>1</v>
      </c>
      <c r="E334" s="21"/>
      <c r="F334" s="20"/>
      <c r="G334" s="21"/>
      <c r="H334" s="22"/>
      <c r="I334" s="23" t="s">
        <v>1254</v>
      </c>
      <c r="J334" s="24">
        <v>1</v>
      </c>
      <c r="K334" s="23"/>
      <c r="L334" s="24"/>
      <c r="M334" s="23"/>
      <c r="N334" s="129"/>
    </row>
    <row r="335" spans="2:14" ht="9.9499999999999993" customHeight="1">
      <c r="B335" s="151">
        <v>42255</v>
      </c>
      <c r="C335" s="19" t="s">
        <v>1255</v>
      </c>
      <c r="D335" s="20">
        <v>1.5</v>
      </c>
      <c r="E335" s="21"/>
      <c r="F335" s="20"/>
      <c r="G335" s="21"/>
      <c r="H335" s="22"/>
      <c r="I335" s="23"/>
      <c r="J335" s="24"/>
      <c r="K335" s="23"/>
      <c r="L335" s="24"/>
      <c r="M335" s="23"/>
      <c r="N335" s="129"/>
    </row>
    <row r="336" spans="2:14" ht="9.9499999999999993" customHeight="1">
      <c r="B336" s="151">
        <v>42261</v>
      </c>
      <c r="C336" s="19" t="s">
        <v>1254</v>
      </c>
      <c r="D336" s="20">
        <v>4</v>
      </c>
      <c r="E336" s="21"/>
      <c r="F336" s="20"/>
      <c r="G336" s="21"/>
      <c r="H336" s="22"/>
      <c r="I336" s="23" t="s">
        <v>1254</v>
      </c>
      <c r="J336" s="24">
        <v>8</v>
      </c>
      <c r="K336" s="23"/>
      <c r="L336" s="24"/>
      <c r="M336" s="23"/>
      <c r="N336" s="129"/>
    </row>
    <row r="337" spans="2:18" ht="9.9499999999999993" customHeight="1">
      <c r="B337" s="151">
        <v>42262</v>
      </c>
      <c r="C337" s="19" t="s">
        <v>1254</v>
      </c>
      <c r="D337" s="20">
        <v>1</v>
      </c>
      <c r="E337" s="21"/>
      <c r="F337" s="20"/>
      <c r="G337" s="21"/>
      <c r="H337" s="22"/>
      <c r="I337" s="23" t="s">
        <v>1254</v>
      </c>
      <c r="J337" s="24">
        <v>8</v>
      </c>
      <c r="K337" s="23"/>
      <c r="L337" s="24"/>
      <c r="M337" s="23"/>
      <c r="N337" s="129"/>
    </row>
    <row r="338" spans="2:18" ht="9.9499999999999993" customHeight="1">
      <c r="B338" s="151">
        <v>42263</v>
      </c>
      <c r="C338" s="19" t="s">
        <v>1254</v>
      </c>
      <c r="D338" s="20">
        <v>1.5</v>
      </c>
      <c r="E338" s="21"/>
      <c r="F338" s="20"/>
      <c r="G338" s="21"/>
      <c r="H338" s="22"/>
      <c r="I338" s="23" t="s">
        <v>1254</v>
      </c>
      <c r="J338" s="24">
        <v>6</v>
      </c>
      <c r="K338" s="23"/>
      <c r="L338" s="24"/>
      <c r="M338" s="23"/>
      <c r="N338" s="129"/>
    </row>
    <row r="339" spans="2:18" ht="9.9499999999999993" customHeight="1">
      <c r="B339" s="151">
        <v>42269</v>
      </c>
      <c r="C339" s="19"/>
      <c r="D339" s="20"/>
      <c r="E339" s="21" t="s">
        <v>1250</v>
      </c>
      <c r="F339" s="20">
        <v>0.75</v>
      </c>
      <c r="G339" s="21"/>
      <c r="H339" s="22"/>
      <c r="I339" s="23"/>
      <c r="J339" s="24"/>
      <c r="K339" s="23" t="s">
        <v>1254</v>
      </c>
      <c r="L339" s="24">
        <v>3.1669999999999998</v>
      </c>
      <c r="M339" s="23"/>
      <c r="N339" s="129"/>
      <c r="P339" s="16"/>
      <c r="Q339" s="16"/>
      <c r="R339" s="16"/>
    </row>
    <row r="340" spans="2:18" ht="9.9499999999999993" customHeight="1">
      <c r="B340" s="151">
        <v>42270</v>
      </c>
      <c r="C340" s="19" t="s">
        <v>1250</v>
      </c>
      <c r="D340" s="20">
        <v>8</v>
      </c>
      <c r="E340" s="21"/>
      <c r="F340" s="20"/>
      <c r="G340" s="21"/>
      <c r="H340" s="22"/>
      <c r="I340" s="23" t="s">
        <v>1250</v>
      </c>
      <c r="J340" s="24">
        <v>8.33</v>
      </c>
      <c r="K340" s="23"/>
      <c r="L340" s="24"/>
      <c r="M340" s="23"/>
      <c r="N340" s="129"/>
      <c r="P340" s="16"/>
      <c r="Q340" s="16"/>
      <c r="R340" s="16"/>
    </row>
    <row r="341" spans="2:18" ht="9.9499999999999993" customHeight="1">
      <c r="B341" s="151">
        <v>42271</v>
      </c>
      <c r="C341" s="19" t="s">
        <v>1250</v>
      </c>
      <c r="D341" s="135">
        <v>9</v>
      </c>
      <c r="E341" s="21"/>
      <c r="F341" s="135"/>
      <c r="G341" s="21"/>
      <c r="H341" s="135"/>
      <c r="I341" s="23" t="s">
        <v>1250</v>
      </c>
      <c r="J341" s="25">
        <v>9</v>
      </c>
      <c r="K341" s="23"/>
      <c r="L341" s="25"/>
      <c r="M341" s="23"/>
      <c r="N341" s="129"/>
    </row>
    <row r="342" spans="2:18" ht="9.9499999999999993" customHeight="1">
      <c r="B342" s="151">
        <v>42272</v>
      </c>
      <c r="C342" s="19" t="s">
        <v>1250</v>
      </c>
      <c r="D342" s="20">
        <v>0.5</v>
      </c>
      <c r="E342" s="21"/>
      <c r="F342" s="20"/>
      <c r="G342" s="21"/>
      <c r="H342" s="22"/>
      <c r="I342" s="23"/>
      <c r="J342" s="24"/>
      <c r="K342" s="23"/>
      <c r="L342" s="24"/>
      <c r="M342" s="23"/>
      <c r="N342" s="129"/>
    </row>
    <row r="343" spans="2:18" ht="9.9499999999999993" customHeight="1">
      <c r="B343" s="151">
        <v>42275</v>
      </c>
      <c r="C343" s="19"/>
      <c r="D343" s="20"/>
      <c r="E343" s="21"/>
      <c r="F343" s="20"/>
      <c r="G343" s="21"/>
      <c r="H343" s="22"/>
      <c r="I343" s="23"/>
      <c r="J343" s="24"/>
      <c r="K343" s="23" t="s">
        <v>1270</v>
      </c>
      <c r="L343" s="24">
        <v>1</v>
      </c>
      <c r="M343" s="23"/>
      <c r="N343" s="129"/>
      <c r="P343" s="16"/>
      <c r="Q343" s="16"/>
      <c r="R343" s="16"/>
    </row>
    <row r="344" spans="2:18" ht="9.9499999999999993" customHeight="1">
      <c r="B344" s="151">
        <v>42276</v>
      </c>
      <c r="C344" s="19" t="s">
        <v>1250</v>
      </c>
      <c r="D344" s="20">
        <v>8</v>
      </c>
      <c r="E344" s="21"/>
      <c r="F344" s="20"/>
      <c r="G344" s="21"/>
      <c r="H344" s="22"/>
      <c r="I344" s="23" t="s">
        <v>1250</v>
      </c>
      <c r="J344" s="24">
        <v>8</v>
      </c>
      <c r="K344" s="23"/>
      <c r="L344" s="24"/>
      <c r="M344" s="23"/>
      <c r="N344" s="129"/>
      <c r="P344" s="16"/>
      <c r="Q344" s="16" t="s">
        <v>1261</v>
      </c>
      <c r="R344" s="16"/>
    </row>
    <row r="345" spans="2:18" ht="9.9499999999999993" customHeight="1">
      <c r="B345" s="151">
        <v>42277</v>
      </c>
      <c r="C345" s="19" t="s">
        <v>1250</v>
      </c>
      <c r="D345" s="20">
        <v>5.5</v>
      </c>
      <c r="E345" s="21" t="s">
        <v>1250</v>
      </c>
      <c r="F345" s="20">
        <v>4</v>
      </c>
      <c r="G345" s="21"/>
      <c r="H345" s="22"/>
      <c r="I345" s="23" t="s">
        <v>1250</v>
      </c>
      <c r="J345" s="24">
        <v>5.5</v>
      </c>
      <c r="K345" s="23" t="s">
        <v>1250</v>
      </c>
      <c r="L345" s="24">
        <v>4</v>
      </c>
      <c r="M345" s="23"/>
      <c r="N345" s="129"/>
      <c r="P345" s="16"/>
      <c r="Q345" s="16"/>
      <c r="R345" s="16"/>
    </row>
    <row r="346" spans="2:18" ht="9.9499999999999993" customHeight="1">
      <c r="B346" s="151">
        <v>42278</v>
      </c>
      <c r="C346" s="19" t="s">
        <v>1248</v>
      </c>
      <c r="D346" s="20">
        <v>0.5</v>
      </c>
      <c r="E346" s="21"/>
      <c r="F346" s="20"/>
      <c r="G346" s="21" t="s">
        <v>1250</v>
      </c>
      <c r="H346" s="22">
        <v>0.5</v>
      </c>
      <c r="I346" s="23"/>
      <c r="J346" s="24"/>
      <c r="K346" s="23" t="s">
        <v>1248</v>
      </c>
      <c r="L346" s="24">
        <v>0.66</v>
      </c>
      <c r="M346" s="23" t="s">
        <v>1250</v>
      </c>
      <c r="N346" s="129">
        <v>4.8330000000000002</v>
      </c>
      <c r="P346" s="16"/>
      <c r="Q346" s="16"/>
      <c r="R346" s="16"/>
    </row>
    <row r="347" spans="2:18" ht="9.9499999999999993" customHeight="1">
      <c r="B347" s="151">
        <v>42279</v>
      </c>
      <c r="C347" s="19" t="s">
        <v>1248</v>
      </c>
      <c r="D347" s="20">
        <v>1</v>
      </c>
      <c r="E347" s="21"/>
      <c r="F347" s="20"/>
      <c r="G347" s="21"/>
      <c r="H347" s="22"/>
      <c r="I347" s="23" t="s">
        <v>1250</v>
      </c>
      <c r="J347" s="24">
        <v>3</v>
      </c>
      <c r="K347" s="23"/>
      <c r="L347" s="24"/>
      <c r="M347" s="23"/>
      <c r="N347" s="129"/>
      <c r="P347" s="16"/>
      <c r="Q347" s="16"/>
      <c r="R347" s="16"/>
    </row>
    <row r="348" spans="2:18" ht="9.9499999999999993" customHeight="1">
      <c r="B348" s="151">
        <v>42281</v>
      </c>
      <c r="C348" s="19"/>
      <c r="D348" s="20"/>
      <c r="E348" s="21"/>
      <c r="F348" s="20"/>
      <c r="G348" s="21"/>
      <c r="H348" s="22"/>
      <c r="I348" s="23"/>
      <c r="J348" s="24"/>
      <c r="K348" s="23"/>
      <c r="L348" s="24"/>
      <c r="M348" s="23" t="s">
        <v>1250</v>
      </c>
      <c r="N348" s="129">
        <v>1</v>
      </c>
      <c r="P348" s="16"/>
      <c r="Q348" s="16"/>
      <c r="R348" s="16"/>
    </row>
    <row r="349" spans="2:18" ht="9.9499999999999993" customHeight="1">
      <c r="B349" s="151">
        <v>42282</v>
      </c>
      <c r="C349" s="19"/>
      <c r="D349" s="20"/>
      <c r="E349" s="21" t="s">
        <v>1268</v>
      </c>
      <c r="F349" s="20">
        <v>1.25</v>
      </c>
      <c r="G349" s="21" t="s">
        <v>1252</v>
      </c>
      <c r="H349" s="22">
        <v>2</v>
      </c>
      <c r="I349" s="23"/>
      <c r="J349" s="24"/>
      <c r="K349" s="23" t="s">
        <v>1250</v>
      </c>
      <c r="L349" s="24">
        <v>0.5</v>
      </c>
      <c r="M349" s="23" t="s">
        <v>1252</v>
      </c>
      <c r="N349" s="129">
        <v>6.25</v>
      </c>
      <c r="P349" s="16"/>
      <c r="Q349" s="16"/>
      <c r="R349" s="16"/>
    </row>
    <row r="350" spans="2:18" ht="9.9499999999999993" customHeight="1">
      <c r="B350" s="151">
        <v>42283</v>
      </c>
      <c r="C350" s="19"/>
      <c r="D350" s="20"/>
      <c r="E350" s="21"/>
      <c r="F350" s="20"/>
      <c r="G350" s="21"/>
      <c r="H350" s="22"/>
      <c r="I350" s="23"/>
      <c r="J350" s="24"/>
      <c r="K350" s="23"/>
      <c r="L350" s="24"/>
      <c r="M350" s="23" t="s">
        <v>1268</v>
      </c>
      <c r="N350" s="129">
        <v>0.75</v>
      </c>
    </row>
    <row r="351" spans="2:18" ht="9.9499999999999993" customHeight="1">
      <c r="B351" s="151">
        <v>42284</v>
      </c>
      <c r="C351" s="19"/>
      <c r="D351" s="20"/>
      <c r="E351" s="21" t="s">
        <v>1248</v>
      </c>
      <c r="F351" s="20">
        <v>3</v>
      </c>
      <c r="G351" s="21"/>
      <c r="H351" s="22"/>
      <c r="I351" s="23"/>
      <c r="J351" s="24"/>
      <c r="K351" s="23" t="s">
        <v>1252</v>
      </c>
      <c r="L351" s="24">
        <v>0.58330000000000004</v>
      </c>
      <c r="M351" s="23" t="s">
        <v>1248</v>
      </c>
      <c r="N351" s="129">
        <v>3.5</v>
      </c>
    </row>
    <row r="352" spans="2:18" ht="9.9499999999999993" customHeight="1">
      <c r="B352" s="151">
        <v>42285</v>
      </c>
      <c r="C352" s="19" t="s">
        <v>1269</v>
      </c>
      <c r="D352" s="20">
        <v>6</v>
      </c>
      <c r="E352" s="21"/>
      <c r="F352" s="20"/>
      <c r="G352" s="21"/>
      <c r="H352" s="22"/>
      <c r="I352" s="23" t="s">
        <v>1248</v>
      </c>
      <c r="J352" s="24">
        <v>4</v>
      </c>
      <c r="K352" s="23"/>
      <c r="L352" s="24"/>
      <c r="M352" s="23"/>
      <c r="N352" s="129"/>
    </row>
    <row r="353" spans="2:14" ht="9.9499999999999993" customHeight="1">
      <c r="B353" s="151">
        <v>42286</v>
      </c>
      <c r="C353" s="19" t="s">
        <v>1248</v>
      </c>
      <c r="D353" s="20">
        <v>4.5</v>
      </c>
      <c r="E353" s="21"/>
      <c r="F353" s="20"/>
      <c r="G353" s="21" t="s">
        <v>1269</v>
      </c>
      <c r="H353" s="22">
        <v>0.5</v>
      </c>
      <c r="I353" s="23"/>
      <c r="J353" s="24"/>
      <c r="K353" s="23"/>
      <c r="L353" s="24"/>
      <c r="M353" s="23"/>
      <c r="N353" s="129"/>
    </row>
    <row r="354" spans="2:14" ht="9.9499999999999993" customHeight="1">
      <c r="B354" s="151">
        <v>42290</v>
      </c>
      <c r="C354" s="19"/>
      <c r="D354" s="20"/>
      <c r="E354" s="21"/>
      <c r="F354" s="20"/>
      <c r="G354" s="21"/>
      <c r="H354" s="22"/>
      <c r="I354" s="23"/>
      <c r="J354" s="24"/>
      <c r="K354" s="23"/>
      <c r="L354" s="24"/>
      <c r="M354" s="23" t="s">
        <v>1248</v>
      </c>
      <c r="N354" s="129">
        <v>1.5</v>
      </c>
    </row>
    <row r="355" spans="2:14" ht="9.9499999999999993" customHeight="1">
      <c r="B355" s="151">
        <v>42291</v>
      </c>
      <c r="C355" s="19" t="s">
        <v>1250</v>
      </c>
      <c r="D355" s="20">
        <v>5.75</v>
      </c>
      <c r="E355" s="21" t="s">
        <v>1250</v>
      </c>
      <c r="F355" s="20">
        <v>2.5</v>
      </c>
      <c r="G355" s="21"/>
      <c r="H355" s="22"/>
      <c r="I355" s="23" t="s">
        <v>1250</v>
      </c>
      <c r="J355" s="24">
        <v>5.75</v>
      </c>
      <c r="K355" s="23" t="s">
        <v>1250</v>
      </c>
      <c r="L355" s="24">
        <v>2.5</v>
      </c>
      <c r="M355" s="23"/>
      <c r="N355" s="129"/>
    </row>
    <row r="356" spans="2:14" ht="9.9499999999999993" customHeight="1">
      <c r="B356" s="151">
        <v>42304</v>
      </c>
      <c r="C356" s="19"/>
      <c r="D356" s="20"/>
      <c r="E356" s="21" t="s">
        <v>1250</v>
      </c>
      <c r="F356" s="20">
        <v>1</v>
      </c>
      <c r="G356" s="21"/>
      <c r="H356" s="22"/>
      <c r="I356" s="23"/>
      <c r="J356" s="24"/>
      <c r="K356" s="23" t="s">
        <v>1250</v>
      </c>
      <c r="L356" s="24">
        <v>1</v>
      </c>
      <c r="M356" s="23"/>
      <c r="N356" s="129"/>
    </row>
    <row r="357" spans="2:14" ht="9.9499999999999993" customHeight="1">
      <c r="B357" s="151">
        <v>42305</v>
      </c>
      <c r="C357" s="19" t="s">
        <v>1250</v>
      </c>
      <c r="D357" s="20">
        <v>7</v>
      </c>
      <c r="E357" s="21"/>
      <c r="F357" s="20"/>
      <c r="G357" s="21"/>
      <c r="H357" s="22"/>
      <c r="I357" s="23" t="s">
        <v>1250</v>
      </c>
      <c r="J357" s="24">
        <v>8</v>
      </c>
      <c r="K357" s="23"/>
      <c r="L357" s="24"/>
      <c r="M357" s="23"/>
      <c r="N357" s="129"/>
    </row>
    <row r="358" spans="2:14" ht="9.9499999999999993" customHeight="1">
      <c r="B358" s="151">
        <v>42306</v>
      </c>
      <c r="C358" s="19"/>
      <c r="D358" s="20"/>
      <c r="E358" s="21" t="s">
        <v>1250</v>
      </c>
      <c r="F358" s="20">
        <v>7.5</v>
      </c>
      <c r="G358" s="21"/>
      <c r="H358" s="22"/>
      <c r="I358" s="23"/>
      <c r="J358" s="24"/>
      <c r="K358" s="23"/>
      <c r="L358" s="24"/>
      <c r="M358" s="23"/>
      <c r="N358" s="129"/>
    </row>
    <row r="359" spans="2:14" ht="9.9499999999999993" customHeight="1">
      <c r="B359" s="151">
        <v>42307</v>
      </c>
      <c r="C359" s="19" t="s">
        <v>1250</v>
      </c>
      <c r="D359" s="20">
        <v>4</v>
      </c>
      <c r="E359" s="21"/>
      <c r="F359" s="20"/>
      <c r="G359" s="21"/>
      <c r="H359" s="22"/>
      <c r="I359" s="23"/>
      <c r="J359" s="24"/>
      <c r="K359" s="23"/>
      <c r="L359" s="24"/>
      <c r="M359" s="23"/>
      <c r="N359" s="129"/>
    </row>
    <row r="360" spans="2:14" ht="9.9499999999999993" customHeight="1">
      <c r="B360" s="151">
        <v>42314</v>
      </c>
      <c r="C360" s="19"/>
      <c r="D360" s="20"/>
      <c r="E360" s="21"/>
      <c r="F360" s="20"/>
      <c r="G360" s="21"/>
      <c r="H360" s="20"/>
      <c r="I360" s="23"/>
      <c r="J360" s="24"/>
      <c r="K360" s="23" t="s">
        <v>1248</v>
      </c>
      <c r="L360" s="24">
        <v>3.75</v>
      </c>
      <c r="M360" s="23"/>
      <c r="N360" s="129"/>
    </row>
    <row r="361" spans="2:14" ht="9.9499999999999993" customHeight="1">
      <c r="B361" s="151">
        <v>42317</v>
      </c>
      <c r="C361" s="19" t="s">
        <v>1250</v>
      </c>
      <c r="D361" s="20">
        <v>9</v>
      </c>
      <c r="E361" s="21"/>
      <c r="F361" s="20"/>
      <c r="G361" s="21"/>
      <c r="H361" s="20"/>
      <c r="I361" s="23" t="s">
        <v>1250</v>
      </c>
      <c r="J361" s="24">
        <v>9</v>
      </c>
      <c r="K361" s="23"/>
      <c r="L361" s="24"/>
      <c r="M361" s="23"/>
      <c r="N361" s="129"/>
    </row>
    <row r="362" spans="2:14" ht="9.9499999999999993" customHeight="1">
      <c r="B362" s="151">
        <v>42318</v>
      </c>
      <c r="C362" s="19" t="s">
        <v>1250</v>
      </c>
      <c r="D362" s="20">
        <v>9.5</v>
      </c>
      <c r="E362" s="21"/>
      <c r="F362" s="20"/>
      <c r="G362" s="21"/>
      <c r="H362" s="20"/>
      <c r="I362" s="23" t="s">
        <v>1250</v>
      </c>
      <c r="J362" s="24">
        <v>9.5</v>
      </c>
      <c r="K362" s="23"/>
      <c r="L362" s="24"/>
      <c r="M362" s="23"/>
      <c r="N362" s="129"/>
    </row>
    <row r="363" spans="2:14" ht="9.9499999999999993" customHeight="1">
      <c r="B363" s="151">
        <v>42319</v>
      </c>
      <c r="C363" s="19"/>
      <c r="D363" s="20"/>
      <c r="E363" s="21"/>
      <c r="F363" s="20"/>
      <c r="G363" s="21"/>
      <c r="H363" s="20"/>
      <c r="I363" s="23"/>
      <c r="J363" s="24"/>
      <c r="K363" s="23"/>
      <c r="L363" s="24"/>
      <c r="M363" s="23"/>
      <c r="N363" s="129"/>
    </row>
    <row r="364" spans="2:14" ht="9.9499999999999993" customHeight="1">
      <c r="B364" s="151">
        <v>42320</v>
      </c>
      <c r="C364" s="19" t="s">
        <v>1250</v>
      </c>
      <c r="D364" s="20">
        <v>1.5</v>
      </c>
      <c r="E364" s="21" t="s">
        <v>1250</v>
      </c>
      <c r="F364" s="20">
        <v>1.75</v>
      </c>
      <c r="G364" s="21" t="s">
        <v>1296</v>
      </c>
      <c r="H364" s="20">
        <v>1</v>
      </c>
      <c r="I364" s="23"/>
      <c r="J364" s="24"/>
      <c r="K364" s="23"/>
      <c r="L364" s="24"/>
      <c r="M364" s="23"/>
      <c r="N364" s="129"/>
    </row>
    <row r="365" spans="2:14" ht="9.9499999999999993" customHeight="1">
      <c r="B365" s="151">
        <v>42324</v>
      </c>
      <c r="C365" s="19" t="s">
        <v>1250</v>
      </c>
      <c r="D365" s="20">
        <v>8.66</v>
      </c>
      <c r="E365" s="21"/>
      <c r="F365" s="20"/>
      <c r="G365" s="21"/>
      <c r="H365" s="20"/>
      <c r="I365" s="23" t="s">
        <v>1250</v>
      </c>
      <c r="J365" s="24">
        <v>8.5</v>
      </c>
      <c r="K365" s="23"/>
      <c r="L365" s="24"/>
      <c r="M365" s="23"/>
      <c r="N365" s="129"/>
    </row>
    <row r="366" spans="2:14" ht="9.9499999999999993" customHeight="1">
      <c r="B366" s="151">
        <v>42325</v>
      </c>
      <c r="C366" s="19" t="s">
        <v>1250</v>
      </c>
      <c r="D366" s="20">
        <v>8.25</v>
      </c>
      <c r="E366" s="21"/>
      <c r="F366" s="20"/>
      <c r="G366" s="21"/>
      <c r="H366" s="20"/>
      <c r="I366" s="23"/>
      <c r="J366" s="24"/>
      <c r="K366" s="23"/>
      <c r="L366" s="24"/>
      <c r="M366" s="23"/>
      <c r="N366" s="129"/>
    </row>
    <row r="367" spans="2:14" ht="9.9499999999999993" customHeight="1">
      <c r="B367" s="151">
        <v>42326</v>
      </c>
      <c r="C367" s="19" t="s">
        <v>1250</v>
      </c>
      <c r="D367" s="20">
        <v>5</v>
      </c>
      <c r="E367" s="21" t="s">
        <v>1254</v>
      </c>
      <c r="F367" s="20">
        <v>2</v>
      </c>
      <c r="G367" s="21"/>
      <c r="H367" s="20"/>
      <c r="I367" s="23"/>
      <c r="J367" s="24"/>
      <c r="K367" s="23"/>
      <c r="L367" s="24"/>
      <c r="M367" s="23"/>
      <c r="N367" s="129"/>
    </row>
    <row r="368" spans="2:14" ht="9.9499999999999993" customHeight="1">
      <c r="B368" s="151">
        <v>42335</v>
      </c>
      <c r="C368" s="19" t="s">
        <v>1248</v>
      </c>
      <c r="D368" s="20">
        <v>2</v>
      </c>
      <c r="E368" s="21" t="s">
        <v>1250</v>
      </c>
      <c r="F368" s="20">
        <v>1</v>
      </c>
      <c r="G368" s="21"/>
      <c r="H368" s="20"/>
      <c r="I368" s="23"/>
      <c r="J368" s="24"/>
      <c r="K368" s="23"/>
      <c r="L368" s="24"/>
      <c r="M368" s="23"/>
      <c r="N368" s="129"/>
    </row>
    <row r="369" spans="2:18" ht="9.9499999999999993" customHeight="1">
      <c r="B369" s="151">
        <v>42339</v>
      </c>
      <c r="C369" s="19" t="s">
        <v>1248</v>
      </c>
      <c r="D369" s="20">
        <v>3</v>
      </c>
      <c r="E369" s="21"/>
      <c r="F369" s="20"/>
      <c r="G369" s="21"/>
      <c r="H369" s="20"/>
      <c r="I369" s="23"/>
      <c r="J369" s="24"/>
      <c r="K369" s="23"/>
      <c r="L369" s="24"/>
      <c r="M369" s="23"/>
      <c r="N369" s="129"/>
    </row>
    <row r="370" spans="2:18" ht="9.9499999999999993" customHeight="1">
      <c r="B370" s="151">
        <v>42340</v>
      </c>
      <c r="C370" s="19" t="s">
        <v>1250</v>
      </c>
      <c r="D370" s="20">
        <v>8</v>
      </c>
      <c r="E370" s="21"/>
      <c r="F370" s="20"/>
      <c r="G370" s="21"/>
      <c r="H370" s="20"/>
      <c r="I370" s="23"/>
      <c r="J370" s="24"/>
      <c r="K370" s="23"/>
      <c r="L370" s="24"/>
      <c r="M370" s="23"/>
      <c r="N370" s="129"/>
    </row>
    <row r="371" spans="2:18" ht="9.9499999999999993" customHeight="1">
      <c r="B371" s="151">
        <v>42341</v>
      </c>
      <c r="C371" s="19" t="s">
        <v>1250</v>
      </c>
      <c r="D371" s="20">
        <v>8</v>
      </c>
      <c r="E371" s="21"/>
      <c r="F371" s="20"/>
      <c r="G371" s="21"/>
      <c r="H371" s="20"/>
      <c r="I371" s="23"/>
      <c r="J371" s="24"/>
      <c r="K371" s="23"/>
      <c r="L371" s="24"/>
      <c r="M371" s="23"/>
      <c r="N371" s="129"/>
    </row>
    <row r="372" spans="2:18" ht="9.9499999999999993" customHeight="1">
      <c r="B372" s="151">
        <v>42342</v>
      </c>
      <c r="C372" s="19" t="s">
        <v>1250</v>
      </c>
      <c r="D372" s="20">
        <v>4</v>
      </c>
      <c r="E372" s="21"/>
      <c r="F372" s="20"/>
      <c r="G372" s="21"/>
      <c r="H372" s="20"/>
      <c r="I372" s="23"/>
      <c r="J372" s="24"/>
      <c r="K372" s="23"/>
      <c r="L372" s="24"/>
      <c r="M372" s="23"/>
      <c r="N372" s="129"/>
    </row>
    <row r="373" spans="2:18" ht="9.9499999999999993" customHeight="1">
      <c r="B373" s="151">
        <v>42345</v>
      </c>
      <c r="C373" s="19"/>
      <c r="D373" s="20"/>
      <c r="E373" s="21" t="s">
        <v>1297</v>
      </c>
      <c r="F373" s="20">
        <v>0.75</v>
      </c>
      <c r="G373" s="21"/>
      <c r="H373" s="20"/>
      <c r="I373" s="23"/>
      <c r="J373" s="24"/>
      <c r="K373" s="23"/>
      <c r="L373" s="24"/>
      <c r="M373" s="23"/>
      <c r="N373" s="129"/>
    </row>
    <row r="374" spans="2:18" ht="9.9499999999999993" customHeight="1">
      <c r="B374" s="151">
        <v>42348</v>
      </c>
      <c r="C374" s="19"/>
      <c r="D374" s="20"/>
      <c r="E374" s="21"/>
      <c r="F374" s="20"/>
      <c r="G374" s="21" t="s">
        <v>1248</v>
      </c>
      <c r="H374" s="20">
        <v>0.5</v>
      </c>
      <c r="I374" s="23"/>
      <c r="J374" s="24"/>
      <c r="K374" s="23" t="s">
        <v>1248</v>
      </c>
      <c r="L374" s="24">
        <v>2.25</v>
      </c>
      <c r="M374" s="23" t="s">
        <v>1299</v>
      </c>
      <c r="N374" s="129">
        <v>1.75</v>
      </c>
    </row>
    <row r="375" spans="2:18" ht="9.9499999999999993" customHeight="1">
      <c r="B375" s="151">
        <v>42349</v>
      </c>
      <c r="C375" s="19" t="s">
        <v>1248</v>
      </c>
      <c r="D375" s="20">
        <v>1.5</v>
      </c>
      <c r="E375" s="21"/>
      <c r="F375" s="20"/>
      <c r="G375" s="21" t="s">
        <v>1298</v>
      </c>
      <c r="H375" s="20">
        <v>1.5</v>
      </c>
      <c r="I375" s="23" t="s">
        <v>1248</v>
      </c>
      <c r="J375" s="24">
        <v>2</v>
      </c>
      <c r="K375" s="23"/>
      <c r="L375" s="24"/>
      <c r="M375" s="23"/>
      <c r="N375" s="129"/>
    </row>
    <row r="376" spans="2:18" ht="9.9499999999999993" customHeight="1">
      <c r="B376" s="151">
        <v>42355</v>
      </c>
      <c r="C376" s="19"/>
      <c r="D376" s="20"/>
      <c r="E376" s="21"/>
      <c r="F376" s="20"/>
      <c r="G376" s="21"/>
      <c r="H376" s="20"/>
      <c r="I376" s="23"/>
      <c r="J376" s="24"/>
      <c r="K376" s="23"/>
      <c r="L376" s="24"/>
      <c r="M376" s="23"/>
      <c r="N376" s="129"/>
    </row>
    <row r="377" spans="2:18" ht="9.9499999999999993" customHeight="1">
      <c r="B377" s="151">
        <v>42356</v>
      </c>
      <c r="C377" s="19" t="s">
        <v>1250</v>
      </c>
      <c r="D377" s="20">
        <v>8</v>
      </c>
      <c r="E377" s="21"/>
      <c r="F377" s="20"/>
      <c r="G377" s="21"/>
      <c r="H377" s="20"/>
      <c r="I377" s="23"/>
      <c r="J377" s="24"/>
      <c r="K377" s="23"/>
      <c r="L377" s="24"/>
      <c r="M377" s="23"/>
      <c r="N377" s="129"/>
    </row>
    <row r="378" spans="2:18" ht="9.9499999999999993" customHeight="1">
      <c r="B378" s="151">
        <v>42361</v>
      </c>
      <c r="C378" s="19" t="s">
        <v>1250</v>
      </c>
      <c r="D378" s="20">
        <v>8</v>
      </c>
      <c r="E378" s="21"/>
      <c r="F378" s="20"/>
      <c r="G378" s="21"/>
      <c r="H378" s="20"/>
      <c r="I378" s="23"/>
      <c r="J378" s="24"/>
      <c r="K378" s="23"/>
      <c r="L378" s="24"/>
      <c r="M378" s="23"/>
      <c r="N378" s="129"/>
    </row>
    <row r="379" spans="2:18" ht="9.9499999999999993" customHeight="1">
      <c r="B379" s="151">
        <v>42362</v>
      </c>
      <c r="C379" s="19" t="s">
        <v>1299</v>
      </c>
      <c r="D379" s="20">
        <v>1.5</v>
      </c>
      <c r="E379" s="21"/>
      <c r="F379" s="20"/>
      <c r="G379" s="21"/>
      <c r="H379" s="20"/>
      <c r="I379" s="23"/>
      <c r="J379" s="24"/>
      <c r="K379" s="23"/>
      <c r="L379" s="24"/>
      <c r="M379" s="23"/>
      <c r="N379" s="129"/>
    </row>
    <row r="380" spans="2:18" ht="9.9499999999999993" customHeight="1" thickBot="1">
      <c r="B380" s="153">
        <v>42369</v>
      </c>
      <c r="C380" s="136"/>
      <c r="D380" s="131"/>
      <c r="E380" s="130"/>
      <c r="F380" s="131"/>
      <c r="G380" s="130"/>
      <c r="H380" s="131"/>
      <c r="I380" s="132"/>
      <c r="J380" s="133"/>
      <c r="K380" s="132"/>
      <c r="L380" s="133"/>
      <c r="M380" s="132"/>
      <c r="N380" s="134"/>
    </row>
    <row r="381" spans="2:18" ht="9.9499999999999993" customHeight="1">
      <c r="D381" s="14">
        <f>SUMPRODUCT((C286:C380=O290)*(D286:D380))</f>
        <v>0</v>
      </c>
      <c r="E381" s="27"/>
      <c r="F381" s="14">
        <f>SUMPRODUCT((E286:E380=O290)*(F286:F380))</f>
        <v>0</v>
      </c>
      <c r="G381" s="27"/>
      <c r="H381" s="14">
        <f>SUMPRODUCT((G286:G380=O290)*(H286:H380))</f>
        <v>0</v>
      </c>
      <c r="I381" s="27"/>
      <c r="J381" s="15">
        <f>SUMPRODUCT((I286:I380=O290)*(J286:J380))</f>
        <v>0</v>
      </c>
      <c r="K381" s="27"/>
      <c r="L381" s="15">
        <f>SUMPRODUCT((K286:K380=O290)*(L286:L380))</f>
        <v>0</v>
      </c>
      <c r="M381" s="27"/>
      <c r="N381" s="15">
        <f>SUMPRODUCT((M286:M380=O290)*(N286:N380))</f>
        <v>0</v>
      </c>
      <c r="Q381" s="16"/>
    </row>
    <row r="382" spans="2:18" ht="9.9499999999999993" customHeight="1" thickBot="1"/>
    <row r="383" spans="2:18" ht="35.1" customHeight="1" thickBot="1">
      <c r="B383" s="505">
        <v>2014</v>
      </c>
      <c r="C383" s="506"/>
      <c r="D383" s="506"/>
      <c r="E383" s="506"/>
      <c r="F383" s="506"/>
      <c r="G383" s="506"/>
      <c r="H383" s="506"/>
      <c r="I383" s="506"/>
      <c r="J383" s="506"/>
      <c r="K383" s="506"/>
      <c r="L383" s="506"/>
      <c r="M383" s="506"/>
      <c r="N383" s="507"/>
      <c r="P383" s="46" t="s">
        <v>1258</v>
      </c>
      <c r="Q383" s="29" t="s">
        <v>1259</v>
      </c>
      <c r="R383" s="29" t="s">
        <v>1260</v>
      </c>
    </row>
    <row r="384" spans="2:18" ht="9.9499999999999993" customHeight="1">
      <c r="B384" s="144">
        <v>41687</v>
      </c>
      <c r="C384" s="122" t="s">
        <v>1250</v>
      </c>
      <c r="D384" s="123">
        <v>2</v>
      </c>
      <c r="E384" s="146"/>
      <c r="F384" s="145"/>
      <c r="G384" s="146"/>
      <c r="H384" s="147"/>
      <c r="I384" s="148"/>
      <c r="J384" s="149"/>
      <c r="K384" s="148"/>
      <c r="L384" s="149"/>
      <c r="M384" s="148"/>
      <c r="N384" s="150"/>
    </row>
    <row r="385" spans="2:18" ht="9.9499999999999993" customHeight="1">
      <c r="B385" s="151">
        <v>41688</v>
      </c>
      <c r="C385" s="139"/>
      <c r="D385" s="14"/>
      <c r="E385" s="137"/>
      <c r="F385" s="14"/>
      <c r="G385" s="137"/>
      <c r="H385" s="109"/>
      <c r="I385" s="23" t="s">
        <v>1250</v>
      </c>
      <c r="J385" s="24">
        <v>6.25</v>
      </c>
      <c r="K385" s="138"/>
      <c r="L385" s="15"/>
      <c r="M385" s="138"/>
      <c r="N385" s="152"/>
      <c r="O385" s="172" t="s">
        <v>828</v>
      </c>
      <c r="P385" s="14">
        <f>SUM(D384:D417)+SUM(F384:F417)+SUM(H384:H417)</f>
        <v>43.25</v>
      </c>
      <c r="Q385" s="14">
        <v>45</v>
      </c>
      <c r="R385" s="14">
        <f>P385*Q385</f>
        <v>1946.25</v>
      </c>
    </row>
    <row r="386" spans="2:18" ht="9.9499999999999993" customHeight="1">
      <c r="B386" s="151">
        <v>41689</v>
      </c>
      <c r="C386" s="139"/>
      <c r="D386" s="14"/>
      <c r="E386" s="137"/>
      <c r="F386" s="14"/>
      <c r="G386" s="137"/>
      <c r="H386" s="109"/>
      <c r="I386" s="23" t="s">
        <v>1250</v>
      </c>
      <c r="J386" s="24">
        <v>2</v>
      </c>
      <c r="K386" s="138"/>
      <c r="L386" s="15"/>
      <c r="M386" s="138"/>
      <c r="N386" s="152"/>
      <c r="O386" s="173" t="s">
        <v>1149</v>
      </c>
      <c r="P386" s="15">
        <f>SUM(J384:J417)+SUM(L384:L417)+SUM(N384:N417)</f>
        <v>45.5</v>
      </c>
      <c r="Q386" s="15">
        <v>35</v>
      </c>
      <c r="R386" s="15">
        <f>P386*Q386</f>
        <v>1592.5</v>
      </c>
    </row>
    <row r="387" spans="2:18" ht="9.9499999999999993" customHeight="1">
      <c r="B387" s="151">
        <v>41694</v>
      </c>
      <c r="C387" s="139"/>
      <c r="D387" s="14"/>
      <c r="E387" s="137"/>
      <c r="F387" s="14"/>
      <c r="G387" s="137"/>
      <c r="H387" s="109"/>
      <c r="I387" s="23" t="s">
        <v>1250</v>
      </c>
      <c r="J387" s="24">
        <v>8</v>
      </c>
      <c r="K387" s="138"/>
      <c r="L387" s="15"/>
      <c r="M387" s="138"/>
      <c r="N387" s="152"/>
      <c r="P387" s="16"/>
      <c r="Q387" s="16"/>
      <c r="R387" s="502">
        <f>R385+R386</f>
        <v>3538.75</v>
      </c>
    </row>
    <row r="388" spans="2:18" ht="9.9499999999999993" customHeight="1">
      <c r="B388" s="151">
        <v>41695</v>
      </c>
      <c r="C388" s="139"/>
      <c r="D388" s="14"/>
      <c r="E388" s="137"/>
      <c r="F388" s="14"/>
      <c r="G388" s="137"/>
      <c r="H388" s="109"/>
      <c r="I388" s="23" t="s">
        <v>1250</v>
      </c>
      <c r="J388" s="24">
        <v>5.5</v>
      </c>
      <c r="K388" s="138"/>
      <c r="L388" s="15"/>
      <c r="M388" s="138"/>
      <c r="N388" s="152"/>
      <c r="P388" s="16"/>
      <c r="Q388" s="16"/>
      <c r="R388" s="503"/>
    </row>
    <row r="389" spans="2:18" ht="9.9499999999999993" customHeight="1">
      <c r="B389" s="151">
        <v>41696</v>
      </c>
      <c r="C389" s="139"/>
      <c r="D389" s="14"/>
      <c r="E389" s="137"/>
      <c r="F389" s="14"/>
      <c r="G389" s="137"/>
      <c r="H389" s="109"/>
      <c r="I389" s="23" t="s">
        <v>1250</v>
      </c>
      <c r="J389" s="24">
        <v>2.5</v>
      </c>
      <c r="K389" s="138"/>
      <c r="L389" s="15"/>
      <c r="M389" s="138"/>
      <c r="N389" s="152"/>
      <c r="R389" s="28"/>
    </row>
    <row r="390" spans="2:18" ht="9.9499999999999993" customHeight="1">
      <c r="B390" s="151">
        <v>41697</v>
      </c>
      <c r="C390" s="139"/>
      <c r="D390" s="14"/>
      <c r="E390" s="137"/>
      <c r="F390" s="14"/>
      <c r="G390" s="137"/>
      <c r="H390" s="109"/>
      <c r="I390" s="23" t="s">
        <v>1250</v>
      </c>
      <c r="J390" s="24">
        <v>1</v>
      </c>
      <c r="K390" s="138"/>
      <c r="L390" s="15"/>
      <c r="M390" s="138"/>
      <c r="N390" s="152"/>
    </row>
    <row r="391" spans="2:18" ht="9.9499999999999993" customHeight="1">
      <c r="B391" s="151">
        <v>41698</v>
      </c>
      <c r="C391" s="139"/>
      <c r="D391" s="14"/>
      <c r="E391" s="137"/>
      <c r="F391" s="14"/>
      <c r="G391" s="137"/>
      <c r="H391" s="109"/>
      <c r="I391" s="23" t="s">
        <v>1250</v>
      </c>
      <c r="J391" s="24">
        <v>1.5</v>
      </c>
      <c r="K391" s="138"/>
      <c r="L391" s="15"/>
      <c r="M391" s="138"/>
      <c r="N391" s="152"/>
      <c r="O391" s="498" t="str">
        <f>T11</f>
        <v>volkswagen</v>
      </c>
      <c r="P391" s="29"/>
    </row>
    <row r="392" spans="2:18" ht="9.9499999999999993" customHeight="1">
      <c r="B392" s="151">
        <v>41699</v>
      </c>
      <c r="C392" s="139"/>
      <c r="D392" s="14"/>
      <c r="E392" s="137"/>
      <c r="F392" s="14"/>
      <c r="G392" s="137"/>
      <c r="H392" s="109"/>
      <c r="I392" s="138"/>
      <c r="J392" s="15"/>
      <c r="K392" s="138"/>
      <c r="L392" s="15"/>
      <c r="M392" s="138"/>
      <c r="N392" s="152"/>
      <c r="O392" s="499"/>
    </row>
    <row r="393" spans="2:18" ht="9.9499999999999993" customHeight="1">
      <c r="B393" s="151">
        <v>41700</v>
      </c>
      <c r="C393" s="139"/>
      <c r="D393" s="14"/>
      <c r="E393" s="137"/>
      <c r="F393" s="14"/>
      <c r="G393" s="137"/>
      <c r="H393" s="109"/>
      <c r="I393" s="138"/>
      <c r="J393" s="15"/>
      <c r="K393" s="138"/>
      <c r="L393" s="15"/>
      <c r="M393" s="138"/>
      <c r="N393" s="152"/>
    </row>
    <row r="394" spans="2:18" ht="9.9499999999999993" customHeight="1">
      <c r="B394" s="151">
        <v>41701</v>
      </c>
      <c r="C394" s="19" t="s">
        <v>1250</v>
      </c>
      <c r="D394" s="20">
        <v>0.5</v>
      </c>
      <c r="E394" s="137"/>
      <c r="F394" s="14"/>
      <c r="G394" s="137"/>
      <c r="H394" s="109"/>
      <c r="I394" s="138"/>
      <c r="J394" s="15"/>
      <c r="K394" s="138"/>
      <c r="L394" s="15"/>
      <c r="M394" s="138"/>
      <c r="N394" s="152"/>
      <c r="O394" s="172" t="s">
        <v>828</v>
      </c>
      <c r="P394" s="14">
        <f>SUM(D418+F418+H418)</f>
        <v>0</v>
      </c>
      <c r="Q394" s="14">
        <f>Q385</f>
        <v>45</v>
      </c>
      <c r="R394" s="14">
        <f>P394*Q394</f>
        <v>0</v>
      </c>
    </row>
    <row r="395" spans="2:18" ht="9.9499999999999993" customHeight="1">
      <c r="B395" s="151">
        <v>41702</v>
      </c>
      <c r="C395" s="139"/>
      <c r="D395" s="14"/>
      <c r="E395" s="137"/>
      <c r="F395" s="14"/>
      <c r="G395" s="137"/>
      <c r="H395" s="109"/>
      <c r="I395" s="138"/>
      <c r="J395" s="15"/>
      <c r="K395" s="138"/>
      <c r="L395" s="15"/>
      <c r="M395" s="138"/>
      <c r="N395" s="152"/>
      <c r="O395" s="173" t="s">
        <v>1149</v>
      </c>
      <c r="P395" s="17">
        <f>SUM(J418+L418+N418)</f>
        <v>0</v>
      </c>
      <c r="Q395" s="17">
        <f>Q386</f>
        <v>35</v>
      </c>
      <c r="R395" s="17">
        <f>P395*Q395</f>
        <v>0</v>
      </c>
    </row>
    <row r="396" spans="2:18" ht="9.9499999999999993" customHeight="1">
      <c r="B396" s="151">
        <v>41703</v>
      </c>
      <c r="C396" s="19" t="s">
        <v>1250</v>
      </c>
      <c r="D396" s="20">
        <v>6.5</v>
      </c>
      <c r="E396" s="137"/>
      <c r="F396" s="14"/>
      <c r="G396" s="137"/>
      <c r="H396" s="109"/>
      <c r="I396" s="138"/>
      <c r="J396" s="15"/>
      <c r="K396" s="138"/>
      <c r="L396" s="15"/>
      <c r="M396" s="138"/>
      <c r="N396" s="152"/>
      <c r="R396" s="500">
        <f>R394+R395</f>
        <v>0</v>
      </c>
    </row>
    <row r="397" spans="2:18" ht="9.9499999999999993" customHeight="1">
      <c r="B397" s="151">
        <v>41704</v>
      </c>
      <c r="C397" s="19" t="s">
        <v>1250</v>
      </c>
      <c r="D397" s="20">
        <v>1.5</v>
      </c>
      <c r="E397" s="137"/>
      <c r="F397" s="14"/>
      <c r="G397" s="137"/>
      <c r="H397" s="109"/>
      <c r="I397" s="138"/>
      <c r="J397" s="15"/>
      <c r="K397" s="138"/>
      <c r="L397" s="15"/>
      <c r="M397" s="138"/>
      <c r="N397" s="152"/>
      <c r="R397" s="501"/>
    </row>
    <row r="398" spans="2:18" ht="9.9499999999999993" customHeight="1">
      <c r="B398" s="151">
        <v>41708</v>
      </c>
      <c r="C398" s="139"/>
      <c r="D398" s="14"/>
      <c r="E398" s="137"/>
      <c r="F398" s="14"/>
      <c r="G398" s="137"/>
      <c r="H398" s="109"/>
      <c r="I398" s="23" t="s">
        <v>1250</v>
      </c>
      <c r="J398" s="24">
        <v>4.5</v>
      </c>
      <c r="K398" s="138"/>
      <c r="L398" s="15"/>
      <c r="M398" s="138"/>
      <c r="N398" s="152"/>
    </row>
    <row r="399" spans="2:18" ht="9.9499999999999993" customHeight="1">
      <c r="B399" s="151">
        <v>41709</v>
      </c>
      <c r="C399" s="139"/>
      <c r="D399" s="14"/>
      <c r="E399" s="137"/>
      <c r="F399" s="14"/>
      <c r="G399" s="137"/>
      <c r="H399" s="109"/>
      <c r="I399" s="138"/>
      <c r="J399" s="15"/>
      <c r="K399" s="138"/>
      <c r="L399" s="15"/>
      <c r="M399" s="138"/>
      <c r="N399" s="152"/>
    </row>
    <row r="400" spans="2:18" ht="9.9499999999999993" customHeight="1">
      <c r="B400" s="151">
        <v>41710</v>
      </c>
      <c r="C400" s="139"/>
      <c r="D400" s="14"/>
      <c r="E400" s="137"/>
      <c r="F400" s="14"/>
      <c r="G400" s="137"/>
      <c r="H400" s="109"/>
      <c r="I400" s="138"/>
      <c r="J400" s="15"/>
      <c r="K400" s="138"/>
      <c r="L400" s="15"/>
      <c r="M400" s="138"/>
      <c r="N400" s="152"/>
    </row>
    <row r="401" spans="2:18" ht="9.9499999999999993" customHeight="1">
      <c r="B401" s="151">
        <v>41711</v>
      </c>
      <c r="C401" s="139"/>
      <c r="D401" s="14"/>
      <c r="E401" s="137"/>
      <c r="F401" s="14"/>
      <c r="G401" s="137"/>
      <c r="H401" s="109"/>
      <c r="I401" s="138"/>
      <c r="J401" s="15"/>
      <c r="K401" s="23" t="s">
        <v>1250</v>
      </c>
      <c r="L401" s="24">
        <v>4</v>
      </c>
      <c r="M401" s="138"/>
      <c r="N401" s="152"/>
    </row>
    <row r="402" spans="2:18" ht="9.9499999999999993" customHeight="1">
      <c r="B402" s="151">
        <v>41712</v>
      </c>
      <c r="C402" s="139"/>
      <c r="D402" s="14"/>
      <c r="E402" s="137"/>
      <c r="F402" s="14"/>
      <c r="G402" s="137"/>
      <c r="H402" s="109"/>
      <c r="I402" s="138"/>
      <c r="J402" s="15"/>
      <c r="K402" s="138"/>
      <c r="L402" s="15"/>
      <c r="M402" s="138"/>
      <c r="N402" s="152"/>
    </row>
    <row r="403" spans="2:18" ht="9.9499999999999993" customHeight="1">
      <c r="B403" s="151">
        <v>41740</v>
      </c>
      <c r="C403" s="139"/>
      <c r="D403" s="14"/>
      <c r="E403" s="137"/>
      <c r="F403" s="14"/>
      <c r="G403" s="137"/>
      <c r="H403" s="109"/>
      <c r="I403" s="23" t="s">
        <v>1250</v>
      </c>
      <c r="J403" s="24">
        <v>2</v>
      </c>
      <c r="K403" s="138"/>
      <c r="L403" s="15"/>
      <c r="M403" s="138"/>
      <c r="N403" s="152"/>
    </row>
    <row r="404" spans="2:18" ht="9.9499999999999993" customHeight="1">
      <c r="B404" s="151">
        <v>41741</v>
      </c>
      <c r="C404" s="139"/>
      <c r="D404" s="14"/>
      <c r="E404" s="137"/>
      <c r="F404" s="14"/>
      <c r="G404" s="137"/>
      <c r="H404" s="109"/>
      <c r="I404" s="138"/>
      <c r="J404" s="15"/>
      <c r="K404" s="138"/>
      <c r="L404" s="15"/>
      <c r="M404" s="138"/>
      <c r="N404" s="152"/>
    </row>
    <row r="405" spans="2:18" ht="9.9499999999999993" customHeight="1">
      <c r="B405" s="151">
        <v>41754</v>
      </c>
      <c r="C405" s="19" t="s">
        <v>1281</v>
      </c>
      <c r="D405" s="20">
        <v>1.5</v>
      </c>
      <c r="E405" s="137"/>
      <c r="F405" s="14"/>
      <c r="G405" s="137"/>
      <c r="H405" s="109"/>
      <c r="I405" s="138"/>
      <c r="J405" s="15"/>
      <c r="K405" s="138"/>
      <c r="L405" s="15"/>
      <c r="M405" s="138"/>
      <c r="N405" s="152"/>
      <c r="P405" s="16"/>
      <c r="Q405" s="16" t="s">
        <v>1261</v>
      </c>
      <c r="R405" s="16"/>
    </row>
    <row r="406" spans="2:18" ht="9.9499999999999993" customHeight="1">
      <c r="B406" s="151">
        <v>41755</v>
      </c>
      <c r="C406" s="139"/>
      <c r="D406" s="14"/>
      <c r="E406" s="137"/>
      <c r="F406" s="14"/>
      <c r="G406" s="137"/>
      <c r="H406" s="109"/>
      <c r="I406" s="138"/>
      <c r="J406" s="15"/>
      <c r="K406" s="138"/>
      <c r="L406" s="15"/>
      <c r="M406" s="138"/>
      <c r="N406" s="152"/>
      <c r="P406" s="16"/>
      <c r="Q406" s="16"/>
      <c r="R406" s="16"/>
    </row>
    <row r="407" spans="2:18" ht="9.9499999999999993" customHeight="1">
      <c r="B407" s="151">
        <v>41756</v>
      </c>
      <c r="C407" s="139"/>
      <c r="D407" s="14"/>
      <c r="E407" s="137"/>
      <c r="F407" s="14"/>
      <c r="G407" s="137"/>
      <c r="H407" s="109"/>
      <c r="I407" s="138"/>
      <c r="J407" s="15"/>
      <c r="K407" s="138"/>
      <c r="L407" s="15"/>
      <c r="M407" s="138"/>
      <c r="N407" s="152"/>
      <c r="P407" s="16"/>
      <c r="Q407" s="16"/>
      <c r="R407" s="16"/>
    </row>
    <row r="408" spans="2:18" ht="9.9499999999999993" customHeight="1">
      <c r="B408" s="151">
        <v>41757</v>
      </c>
      <c r="C408" s="19" t="s">
        <v>1250</v>
      </c>
      <c r="D408" s="20">
        <v>3</v>
      </c>
      <c r="E408" s="137"/>
      <c r="F408" s="14"/>
      <c r="G408" s="137"/>
      <c r="H408" s="109"/>
      <c r="I408" s="138"/>
      <c r="J408" s="15"/>
      <c r="K408" s="138"/>
      <c r="L408" s="15"/>
      <c r="M408" s="138"/>
      <c r="N408" s="152"/>
      <c r="P408" s="16"/>
      <c r="Q408" s="16"/>
      <c r="R408" s="16"/>
    </row>
    <row r="409" spans="2:18" ht="9.9499999999999993" customHeight="1">
      <c r="B409" s="151">
        <v>41764</v>
      </c>
      <c r="C409" s="19" t="s">
        <v>1250</v>
      </c>
      <c r="D409" s="20">
        <v>4.75</v>
      </c>
      <c r="E409" s="21" t="s">
        <v>1282</v>
      </c>
      <c r="F409" s="20">
        <v>0.5</v>
      </c>
      <c r="G409" s="137"/>
      <c r="H409" s="109"/>
      <c r="I409" s="138"/>
      <c r="J409" s="15"/>
      <c r="K409" s="138"/>
      <c r="L409" s="15"/>
      <c r="M409" s="138"/>
      <c r="N409" s="152"/>
    </row>
    <row r="410" spans="2:18" ht="9.9499999999999993" customHeight="1">
      <c r="B410" s="151">
        <v>41765</v>
      </c>
      <c r="C410" s="19" t="s">
        <v>1250</v>
      </c>
      <c r="D410" s="20">
        <v>7.5</v>
      </c>
      <c r="E410" s="137"/>
      <c r="F410" s="14"/>
      <c r="G410" s="137"/>
      <c r="H410" s="109"/>
      <c r="I410" s="138"/>
      <c r="J410" s="15"/>
      <c r="K410" s="138"/>
      <c r="L410" s="15"/>
      <c r="M410" s="138"/>
      <c r="N410" s="152"/>
    </row>
    <row r="411" spans="2:18" ht="9.9499999999999993" customHeight="1">
      <c r="B411" s="151">
        <v>41766</v>
      </c>
      <c r="C411" s="19" t="s">
        <v>1250</v>
      </c>
      <c r="D411" s="20">
        <v>3.5</v>
      </c>
      <c r="E411" s="137"/>
      <c r="F411" s="14"/>
      <c r="G411" s="137"/>
      <c r="H411" s="109"/>
      <c r="I411" s="138"/>
      <c r="J411" s="15"/>
      <c r="K411" s="138"/>
      <c r="L411" s="15"/>
      <c r="M411" s="138"/>
      <c r="N411" s="152"/>
    </row>
    <row r="412" spans="2:18" ht="9.9499999999999993" customHeight="1">
      <c r="B412" s="151">
        <v>41836</v>
      </c>
      <c r="C412" s="137"/>
      <c r="D412" s="14"/>
      <c r="E412" s="137"/>
      <c r="F412" s="14"/>
      <c r="G412" s="137"/>
      <c r="H412" s="14"/>
      <c r="I412" s="138"/>
      <c r="J412" s="15"/>
      <c r="K412" s="138"/>
      <c r="L412" s="15"/>
      <c r="M412" s="138"/>
      <c r="N412" s="152"/>
    </row>
    <row r="413" spans="2:18" ht="9.9499999999999993" customHeight="1">
      <c r="B413" s="151">
        <v>41973</v>
      </c>
      <c r="C413" s="137"/>
      <c r="D413" s="14"/>
      <c r="E413" s="137"/>
      <c r="F413" s="14"/>
      <c r="G413" s="137"/>
      <c r="H413" s="14"/>
      <c r="I413" s="138"/>
      <c r="J413" s="15"/>
      <c r="K413" s="138"/>
      <c r="L413" s="15"/>
      <c r="M413" s="138"/>
      <c r="N413" s="152"/>
    </row>
    <row r="414" spans="2:18" ht="9.9499999999999993" customHeight="1">
      <c r="B414" s="151">
        <v>41974</v>
      </c>
      <c r="C414" s="137"/>
      <c r="D414" s="14"/>
      <c r="E414" s="137"/>
      <c r="F414" s="14"/>
      <c r="G414" s="21" t="s">
        <v>1248</v>
      </c>
      <c r="H414" s="20">
        <v>5.25</v>
      </c>
      <c r="I414" s="23" t="s">
        <v>1248</v>
      </c>
      <c r="J414" s="24">
        <v>6</v>
      </c>
      <c r="K414" s="138"/>
      <c r="L414" s="15"/>
      <c r="M414" s="138"/>
      <c r="N414" s="152"/>
    </row>
    <row r="415" spans="2:18" ht="9.9499999999999993" customHeight="1">
      <c r="B415" s="151">
        <v>41992</v>
      </c>
      <c r="C415" s="137"/>
      <c r="D415" s="14"/>
      <c r="E415" s="21" t="s">
        <v>1248</v>
      </c>
      <c r="F415" s="20">
        <v>0.75</v>
      </c>
      <c r="G415" s="21" t="s">
        <v>1249</v>
      </c>
      <c r="H415" s="20">
        <v>1</v>
      </c>
      <c r="I415" s="138"/>
      <c r="J415" s="15"/>
      <c r="K415" s="138"/>
      <c r="L415" s="15"/>
      <c r="M415" s="138"/>
      <c r="N415" s="152"/>
    </row>
    <row r="416" spans="2:18" ht="9.9499999999999993" customHeight="1">
      <c r="B416" s="151">
        <v>41995</v>
      </c>
      <c r="C416" s="21" t="s">
        <v>1249</v>
      </c>
      <c r="D416" s="20">
        <v>5</v>
      </c>
      <c r="E416" s="137"/>
      <c r="F416" s="14"/>
      <c r="G416" s="137"/>
      <c r="H416" s="14"/>
      <c r="I416" s="23" t="s">
        <v>1249</v>
      </c>
      <c r="J416" s="24">
        <v>2.25</v>
      </c>
      <c r="K416" s="138"/>
      <c r="L416" s="15"/>
      <c r="M416" s="138"/>
      <c r="N416" s="152"/>
    </row>
    <row r="417" spans="2:18" ht="9.9499999999999993" customHeight="1" thickBot="1">
      <c r="B417" s="153">
        <v>42004</v>
      </c>
      <c r="C417" s="155"/>
      <c r="D417" s="154"/>
      <c r="E417" s="155"/>
      <c r="F417" s="154"/>
      <c r="G417" s="155"/>
      <c r="H417" s="154"/>
      <c r="I417" s="156"/>
      <c r="J417" s="157"/>
      <c r="K417" s="156"/>
      <c r="L417" s="157"/>
      <c r="M417" s="156"/>
      <c r="N417" s="158"/>
    </row>
    <row r="418" spans="2:18" ht="9.9499999999999993" customHeight="1">
      <c r="D418" s="14">
        <f>SUMPRODUCT((C384:C417=O391)*(D384:D417))</f>
        <v>0</v>
      </c>
      <c r="E418" s="27"/>
      <c r="F418" s="14">
        <f>SUMPRODUCT((E384:E417=O391)*(F384:F417))</f>
        <v>0</v>
      </c>
      <c r="G418" s="27"/>
      <c r="H418" s="14">
        <f>SUMPRODUCT((G384:G417=O391)*(H384:H417))</f>
        <v>0</v>
      </c>
      <c r="I418" s="27"/>
      <c r="J418" s="15">
        <f>SUMPRODUCT((I384:I417=O391)*(J384:J417))</f>
        <v>0</v>
      </c>
      <c r="K418" s="27"/>
      <c r="L418" s="15">
        <f>SUMPRODUCT((K384:K417=O391)*(L384:L417))</f>
        <v>0</v>
      </c>
      <c r="M418" s="27"/>
      <c r="N418" s="15">
        <f>SUMPRODUCT((M384:M417=O391)*(N384:N417))</f>
        <v>0</v>
      </c>
    </row>
    <row r="419" spans="2:18" ht="9.9499999999999993" customHeight="1" thickBot="1"/>
    <row r="420" spans="2:18" ht="35.1" customHeight="1" thickBot="1">
      <c r="B420" s="505">
        <v>2013</v>
      </c>
      <c r="C420" s="506"/>
      <c r="D420" s="506"/>
      <c r="E420" s="506"/>
      <c r="F420" s="506"/>
      <c r="G420" s="506"/>
      <c r="H420" s="506"/>
      <c r="I420" s="506"/>
      <c r="J420" s="506"/>
      <c r="K420" s="506"/>
      <c r="L420" s="506"/>
      <c r="M420" s="506"/>
      <c r="N420" s="507"/>
      <c r="P420" s="46" t="s">
        <v>1258</v>
      </c>
      <c r="Q420" s="29" t="s">
        <v>1259</v>
      </c>
      <c r="R420" s="29" t="s">
        <v>1260</v>
      </c>
    </row>
    <row r="421" spans="2:18" ht="9.9499999999999993" customHeight="1">
      <c r="B421" s="162">
        <v>41339</v>
      </c>
      <c r="C421" s="117" t="s">
        <v>1280</v>
      </c>
      <c r="D421" s="118">
        <v>0.75</v>
      </c>
      <c r="E421" s="140"/>
      <c r="F421" s="141"/>
      <c r="G421" s="140"/>
      <c r="H421" s="161"/>
      <c r="I421" s="142"/>
      <c r="J421" s="143"/>
      <c r="K421" s="142"/>
      <c r="L421" s="143"/>
      <c r="M421" s="142"/>
      <c r="N421" s="163"/>
      <c r="O421" s="172" t="s">
        <v>828</v>
      </c>
      <c r="P421" s="14">
        <f>SUM(D421:D449)+SUM(F421:F449)+SUM(H421:H449)</f>
        <v>0.75</v>
      </c>
      <c r="Q421" s="14">
        <v>40</v>
      </c>
      <c r="R421" s="14">
        <f>P421*Q421</f>
        <v>30</v>
      </c>
    </row>
    <row r="422" spans="2:18" ht="9.9499999999999993" customHeight="1">
      <c r="B422" s="151">
        <v>41527</v>
      </c>
      <c r="C422" s="137"/>
      <c r="D422" s="14"/>
      <c r="E422" s="137"/>
      <c r="F422" s="14"/>
      <c r="G422" s="137"/>
      <c r="H422" s="14"/>
      <c r="I422" s="23" t="s">
        <v>1250</v>
      </c>
      <c r="J422" s="24">
        <v>2.5</v>
      </c>
      <c r="K422" s="23" t="s">
        <v>1274</v>
      </c>
      <c r="L422" s="24">
        <v>2.5</v>
      </c>
      <c r="M422" s="138"/>
      <c r="N422" s="152"/>
      <c r="O422" s="173" t="s">
        <v>1149</v>
      </c>
      <c r="P422" s="15">
        <f>SUM(J421:J449)+SUM(L421:L449)+SUM(N421:N449)</f>
        <v>29.5</v>
      </c>
      <c r="Q422" s="15">
        <v>30</v>
      </c>
      <c r="R422" s="15">
        <f>P422*Q422</f>
        <v>885</v>
      </c>
    </row>
    <row r="423" spans="2:18" ht="9.9499999999999993" customHeight="1">
      <c r="B423" s="151">
        <v>41528</v>
      </c>
      <c r="C423" s="137"/>
      <c r="D423" s="14"/>
      <c r="E423" s="137"/>
      <c r="F423" s="14"/>
      <c r="G423" s="137"/>
      <c r="H423" s="14"/>
      <c r="I423" s="23" t="s">
        <v>1250</v>
      </c>
      <c r="J423" s="24">
        <v>1.5</v>
      </c>
      <c r="K423" s="23" t="s">
        <v>1274</v>
      </c>
      <c r="L423" s="24">
        <v>1.5</v>
      </c>
      <c r="M423" s="138"/>
      <c r="N423" s="152"/>
      <c r="P423" s="16"/>
      <c r="Q423" s="16"/>
      <c r="R423" s="502">
        <f>R421+R422</f>
        <v>915</v>
      </c>
    </row>
    <row r="424" spans="2:18" ht="9.9499999999999993" customHeight="1">
      <c r="B424" s="151">
        <v>41529</v>
      </c>
      <c r="C424" s="137"/>
      <c r="D424" s="14"/>
      <c r="E424" s="137"/>
      <c r="F424" s="14"/>
      <c r="G424" s="137"/>
      <c r="H424" s="14"/>
      <c r="I424" s="23" t="s">
        <v>1250</v>
      </c>
      <c r="J424" s="24">
        <v>7.5</v>
      </c>
      <c r="K424" s="23" t="s">
        <v>1274</v>
      </c>
      <c r="L424" s="24">
        <v>0.5</v>
      </c>
      <c r="M424" s="138"/>
      <c r="N424" s="152"/>
      <c r="P424" s="16"/>
      <c r="Q424" s="16"/>
      <c r="R424" s="503"/>
    </row>
    <row r="425" spans="2:18" ht="9.9499999999999993" customHeight="1">
      <c r="B425" s="151">
        <v>41530</v>
      </c>
      <c r="C425" s="137"/>
      <c r="D425" s="14"/>
      <c r="E425" s="137"/>
      <c r="F425" s="14"/>
      <c r="G425" s="137"/>
      <c r="H425" s="14"/>
      <c r="I425" s="138"/>
      <c r="J425" s="15"/>
      <c r="K425" s="138"/>
      <c r="L425" s="15"/>
      <c r="M425" s="138"/>
      <c r="N425" s="152"/>
      <c r="R425" s="28"/>
    </row>
    <row r="426" spans="2:18" ht="9.9499999999999993" customHeight="1">
      <c r="B426" s="151">
        <v>41531</v>
      </c>
      <c r="C426" s="137"/>
      <c r="D426" s="14"/>
      <c r="E426" s="137"/>
      <c r="F426" s="14"/>
      <c r="G426" s="137"/>
      <c r="H426" s="14"/>
      <c r="I426" s="138"/>
      <c r="J426" s="15"/>
      <c r="K426" s="138"/>
      <c r="L426" s="15"/>
      <c r="M426" s="138"/>
      <c r="N426" s="152"/>
      <c r="P426" s="29"/>
    </row>
    <row r="427" spans="2:18" ht="9.9499999999999993" customHeight="1">
      <c r="B427" s="151">
        <v>41532</v>
      </c>
      <c r="C427" s="137"/>
      <c r="D427" s="14"/>
      <c r="E427" s="137"/>
      <c r="F427" s="14"/>
      <c r="G427" s="137"/>
      <c r="H427" s="14"/>
      <c r="I427" s="138"/>
      <c r="J427" s="15"/>
      <c r="K427" s="138"/>
      <c r="L427" s="15"/>
      <c r="M427" s="138"/>
      <c r="N427" s="152"/>
    </row>
    <row r="428" spans="2:18" ht="9.9499999999999993" customHeight="1">
      <c r="B428" s="151">
        <v>41533</v>
      </c>
      <c r="C428" s="137"/>
      <c r="D428" s="14"/>
      <c r="E428" s="137"/>
      <c r="F428" s="14"/>
      <c r="G428" s="137"/>
      <c r="H428" s="14"/>
      <c r="I428" s="138"/>
      <c r="J428" s="15"/>
      <c r="K428" s="138"/>
      <c r="L428" s="15"/>
      <c r="M428" s="138"/>
      <c r="N428" s="152"/>
      <c r="O428" s="498" t="str">
        <f>T11</f>
        <v>volkswagen</v>
      </c>
      <c r="P428" s="29"/>
    </row>
    <row r="429" spans="2:18" ht="9.9499999999999993" customHeight="1">
      <c r="B429" s="151">
        <v>41534</v>
      </c>
      <c r="C429" s="137"/>
      <c r="D429" s="14"/>
      <c r="E429" s="137"/>
      <c r="F429" s="14"/>
      <c r="G429" s="137"/>
      <c r="H429" s="14"/>
      <c r="I429" s="138"/>
      <c r="J429" s="15"/>
      <c r="K429" s="138"/>
      <c r="L429" s="15"/>
      <c r="M429" s="138"/>
      <c r="N429" s="152"/>
      <c r="O429" s="499"/>
    </row>
    <row r="430" spans="2:18" ht="9.9499999999999993" customHeight="1">
      <c r="B430" s="151">
        <v>41535</v>
      </c>
      <c r="C430" s="137"/>
      <c r="D430" s="14"/>
      <c r="E430" s="137"/>
      <c r="F430" s="14"/>
      <c r="G430" s="137"/>
      <c r="H430" s="14"/>
      <c r="I430" s="138"/>
      <c r="J430" s="15"/>
      <c r="K430" s="138"/>
      <c r="L430" s="15"/>
      <c r="M430" s="138"/>
      <c r="N430" s="152"/>
    </row>
    <row r="431" spans="2:18" ht="9.9499999999999993" customHeight="1">
      <c r="B431" s="151">
        <v>41536</v>
      </c>
      <c r="C431" s="137"/>
      <c r="D431" s="14"/>
      <c r="E431" s="137"/>
      <c r="F431" s="14"/>
      <c r="G431" s="137"/>
      <c r="H431" s="14"/>
      <c r="I431" s="138"/>
      <c r="J431" s="15"/>
      <c r="K431" s="138"/>
      <c r="L431" s="15"/>
      <c r="M431" s="138"/>
      <c r="N431" s="152"/>
      <c r="O431" s="172" t="s">
        <v>828</v>
      </c>
      <c r="P431" s="14">
        <f>SUM(D450+F450+H450)</f>
        <v>0</v>
      </c>
      <c r="Q431" s="14">
        <f>Q421</f>
        <v>40</v>
      </c>
      <c r="R431" s="14">
        <f>P431*Q431</f>
        <v>0</v>
      </c>
    </row>
    <row r="432" spans="2:18" ht="9.9499999999999993" customHeight="1">
      <c r="B432" s="151">
        <v>41537</v>
      </c>
      <c r="C432" s="137"/>
      <c r="D432" s="14"/>
      <c r="E432" s="137"/>
      <c r="F432" s="14"/>
      <c r="G432" s="137"/>
      <c r="H432" s="14"/>
      <c r="I432" s="138"/>
      <c r="J432" s="15"/>
      <c r="K432" s="138"/>
      <c r="L432" s="15"/>
      <c r="M432" s="138"/>
      <c r="N432" s="152"/>
      <c r="O432" s="173" t="s">
        <v>1149</v>
      </c>
      <c r="P432" s="17">
        <f>SUM(J450+L450+N450)</f>
        <v>0</v>
      </c>
      <c r="Q432" s="17">
        <f>Q422</f>
        <v>30</v>
      </c>
      <c r="R432" s="17">
        <f>P432*Q432</f>
        <v>0</v>
      </c>
    </row>
    <row r="433" spans="2:18" ht="9.9499999999999993" customHeight="1">
      <c r="B433" s="151">
        <v>41538</v>
      </c>
      <c r="C433" s="137"/>
      <c r="D433" s="14"/>
      <c r="E433" s="137"/>
      <c r="F433" s="14"/>
      <c r="G433" s="137"/>
      <c r="H433" s="14"/>
      <c r="I433" s="138"/>
      <c r="J433" s="15"/>
      <c r="K433" s="138"/>
      <c r="L433" s="15"/>
      <c r="M433" s="138"/>
      <c r="N433" s="152"/>
      <c r="R433" s="500">
        <f>R431+R432</f>
        <v>0</v>
      </c>
    </row>
    <row r="434" spans="2:18" ht="9.9499999999999993" customHeight="1">
      <c r="B434" s="151">
        <v>41539</v>
      </c>
      <c r="C434" s="137"/>
      <c r="D434" s="14"/>
      <c r="E434" s="137"/>
      <c r="F434" s="14"/>
      <c r="G434" s="137"/>
      <c r="H434" s="14"/>
      <c r="I434" s="138"/>
      <c r="J434" s="15"/>
      <c r="K434" s="138"/>
      <c r="L434" s="15"/>
      <c r="M434" s="138"/>
      <c r="N434" s="152"/>
      <c r="R434" s="501"/>
    </row>
    <row r="435" spans="2:18" ht="9.9499999999999993" customHeight="1">
      <c r="B435" s="151">
        <v>41540</v>
      </c>
      <c r="C435" s="137"/>
      <c r="D435" s="14"/>
      <c r="E435" s="137"/>
      <c r="F435" s="14"/>
      <c r="G435" s="137"/>
      <c r="H435" s="14"/>
      <c r="I435" s="23" t="s">
        <v>1274</v>
      </c>
      <c r="J435" s="24">
        <v>3.5</v>
      </c>
      <c r="K435" s="138"/>
      <c r="L435" s="15"/>
      <c r="M435" s="138"/>
      <c r="N435" s="152"/>
    </row>
    <row r="436" spans="2:18" ht="9.9499999999999993" customHeight="1">
      <c r="B436" s="151">
        <v>41541</v>
      </c>
      <c r="C436" s="137"/>
      <c r="D436" s="14"/>
      <c r="E436" s="137"/>
      <c r="F436" s="14"/>
      <c r="G436" s="137"/>
      <c r="H436" s="14"/>
      <c r="I436" s="23" t="s">
        <v>1250</v>
      </c>
      <c r="J436" s="24">
        <v>3</v>
      </c>
      <c r="K436" s="138"/>
      <c r="L436" s="15"/>
      <c r="M436" s="138"/>
      <c r="N436" s="152"/>
    </row>
    <row r="437" spans="2:18" ht="9.9499999999999993" customHeight="1">
      <c r="B437" s="151">
        <v>41542</v>
      </c>
      <c r="C437" s="137"/>
      <c r="D437" s="14"/>
      <c r="E437" s="137"/>
      <c r="F437" s="14"/>
      <c r="G437" s="137"/>
      <c r="H437" s="14"/>
      <c r="I437" s="138"/>
      <c r="J437" s="15"/>
      <c r="K437" s="138"/>
      <c r="L437" s="15"/>
      <c r="M437" s="138"/>
      <c r="N437" s="152"/>
    </row>
    <row r="438" spans="2:18" ht="9.9499999999999993" customHeight="1">
      <c r="B438" s="151">
        <v>41543</v>
      </c>
      <c r="C438" s="137"/>
      <c r="D438" s="14"/>
      <c r="E438" s="137"/>
      <c r="F438" s="14"/>
      <c r="G438" s="137"/>
      <c r="H438" s="14"/>
      <c r="I438" s="138"/>
      <c r="J438" s="15"/>
      <c r="K438" s="138"/>
      <c r="L438" s="15"/>
      <c r="M438" s="138"/>
      <c r="N438" s="152"/>
    </row>
    <row r="439" spans="2:18" ht="9.9499999999999993" customHeight="1">
      <c r="B439" s="151">
        <v>41544</v>
      </c>
      <c r="C439" s="137"/>
      <c r="D439" s="14"/>
      <c r="E439" s="137"/>
      <c r="F439" s="14"/>
      <c r="G439" s="137"/>
      <c r="H439" s="14"/>
      <c r="I439" s="138"/>
      <c r="J439" s="15"/>
      <c r="K439" s="138"/>
      <c r="L439" s="15"/>
      <c r="M439" s="138"/>
      <c r="N439" s="152"/>
    </row>
    <row r="440" spans="2:18" ht="9.9499999999999993" customHeight="1">
      <c r="B440" s="151">
        <v>41545</v>
      </c>
      <c r="C440" s="137"/>
      <c r="D440" s="14"/>
      <c r="E440" s="137"/>
      <c r="F440" s="14"/>
      <c r="G440" s="137"/>
      <c r="H440" s="14"/>
      <c r="I440" s="138"/>
      <c r="J440" s="15"/>
      <c r="K440" s="138"/>
      <c r="L440" s="15"/>
      <c r="M440" s="138"/>
      <c r="N440" s="152"/>
    </row>
    <row r="441" spans="2:18" ht="9.9499999999999993" customHeight="1">
      <c r="B441" s="151">
        <v>41546</v>
      </c>
      <c r="C441" s="137"/>
      <c r="D441" s="14"/>
      <c r="E441" s="137"/>
      <c r="F441" s="14"/>
      <c r="G441" s="137"/>
      <c r="H441" s="14"/>
      <c r="I441" s="138"/>
      <c r="J441" s="15"/>
      <c r="K441" s="138"/>
      <c r="L441" s="15"/>
      <c r="M441" s="138"/>
      <c r="N441" s="152"/>
    </row>
    <row r="442" spans="2:18" ht="9.9499999999999993" customHeight="1">
      <c r="B442" s="151">
        <v>41547</v>
      </c>
      <c r="C442" s="137"/>
      <c r="D442" s="14"/>
      <c r="E442" s="137"/>
      <c r="F442" s="14"/>
      <c r="G442" s="137"/>
      <c r="H442" s="14"/>
      <c r="I442" s="23" t="s">
        <v>1250</v>
      </c>
      <c r="J442" s="24">
        <v>2</v>
      </c>
      <c r="K442" s="23" t="s">
        <v>1274</v>
      </c>
      <c r="L442" s="24">
        <v>2</v>
      </c>
      <c r="M442" s="138"/>
      <c r="N442" s="152"/>
    </row>
    <row r="443" spans="2:18" ht="9.9499999999999993" customHeight="1">
      <c r="B443" s="151">
        <v>41548</v>
      </c>
      <c r="C443" s="137"/>
      <c r="D443" s="14"/>
      <c r="E443" s="137"/>
      <c r="F443" s="14"/>
      <c r="G443" s="137"/>
      <c r="H443" s="14"/>
      <c r="I443" s="138"/>
      <c r="J443" s="15"/>
      <c r="K443" s="138"/>
      <c r="L443" s="15"/>
      <c r="M443" s="138"/>
      <c r="N443" s="152"/>
    </row>
    <row r="444" spans="2:18" ht="9.9499999999999993" customHeight="1">
      <c r="B444" s="151">
        <v>41570</v>
      </c>
      <c r="C444" s="137"/>
      <c r="D444" s="14"/>
      <c r="E444" s="137"/>
      <c r="F444" s="14"/>
      <c r="G444" s="137"/>
      <c r="H444" s="14"/>
      <c r="I444" s="23" t="s">
        <v>1250</v>
      </c>
      <c r="J444" s="24">
        <v>2.5</v>
      </c>
      <c r="K444" s="138"/>
      <c r="L444" s="15"/>
      <c r="M444" s="138"/>
      <c r="N444" s="152"/>
    </row>
    <row r="445" spans="2:18" ht="9.9499999999999993" customHeight="1">
      <c r="B445" s="151">
        <v>41571</v>
      </c>
      <c r="C445" s="137"/>
      <c r="D445" s="14"/>
      <c r="E445" s="137"/>
      <c r="F445" s="14"/>
      <c r="G445" s="137"/>
      <c r="H445" s="14"/>
      <c r="I445" s="138"/>
      <c r="J445" s="15"/>
      <c r="K445" s="138"/>
      <c r="L445" s="15"/>
      <c r="M445" s="138"/>
      <c r="N445" s="152"/>
    </row>
    <row r="446" spans="2:18" ht="9.9499999999999993" customHeight="1">
      <c r="B446" s="151">
        <v>41583</v>
      </c>
      <c r="C446" s="137"/>
      <c r="D446" s="14"/>
      <c r="E446" s="137"/>
      <c r="F446" s="14"/>
      <c r="G446" s="137"/>
      <c r="H446" s="14"/>
      <c r="I446" s="138"/>
      <c r="J446" s="15"/>
      <c r="K446" s="138"/>
      <c r="L446" s="15"/>
      <c r="M446" s="138"/>
      <c r="N446" s="152"/>
    </row>
    <row r="447" spans="2:18" ht="9.9499999999999993" customHeight="1">
      <c r="B447" s="151">
        <v>41584</v>
      </c>
      <c r="C447" s="137"/>
      <c r="D447" s="14"/>
      <c r="E447" s="137"/>
      <c r="F447" s="14"/>
      <c r="G447" s="137"/>
      <c r="H447" s="14"/>
      <c r="I447" s="23" t="s">
        <v>1250</v>
      </c>
      <c r="J447" s="24">
        <v>0.5</v>
      </c>
      <c r="K447" s="138"/>
      <c r="L447" s="15"/>
      <c r="M447" s="138"/>
      <c r="N447" s="152"/>
    </row>
    <row r="448" spans="2:18" ht="9.9499999999999993" customHeight="1">
      <c r="B448" s="151">
        <v>41620</v>
      </c>
      <c r="C448" s="137"/>
      <c r="D448" s="14"/>
      <c r="E448" s="137"/>
      <c r="F448" s="14"/>
      <c r="G448" s="137"/>
      <c r="H448" s="14"/>
      <c r="I448" s="138"/>
      <c r="J448" s="15"/>
      <c r="K448" s="138"/>
      <c r="L448" s="15"/>
      <c r="M448" s="138"/>
      <c r="N448" s="152"/>
    </row>
    <row r="449" spans="2:18" ht="9.9499999999999993" customHeight="1" thickBot="1">
      <c r="B449" s="153">
        <v>41639</v>
      </c>
      <c r="C449" s="155"/>
      <c r="D449" s="154"/>
      <c r="E449" s="155"/>
      <c r="F449" s="154"/>
      <c r="G449" s="155"/>
      <c r="H449" s="154"/>
      <c r="I449" s="156"/>
      <c r="J449" s="157"/>
      <c r="K449" s="156"/>
      <c r="L449" s="157"/>
      <c r="M449" s="156"/>
      <c r="N449" s="158"/>
    </row>
    <row r="450" spans="2:18" ht="9.9499999999999993" customHeight="1">
      <c r="D450" s="14">
        <f>SUMPRODUCT((C421:C449=O428)*(D421:D449))</f>
        <v>0</v>
      </c>
      <c r="E450" s="27"/>
      <c r="F450" s="14">
        <f>SUMPRODUCT((E421:E449=O428)*(F421:F449))</f>
        <v>0</v>
      </c>
      <c r="G450" s="27"/>
      <c r="H450" s="14">
        <f>SUMPRODUCT((G421:G449=O428)*(H421:H449))</f>
        <v>0</v>
      </c>
      <c r="I450" s="27"/>
      <c r="J450" s="15">
        <f>SUMPRODUCT((I421:I449=O428)*(J421:J449))</f>
        <v>0</v>
      </c>
      <c r="K450" s="27"/>
      <c r="L450" s="15">
        <f>SUMPRODUCT((K421:K449=O428)*(L421:L449))</f>
        <v>0</v>
      </c>
      <c r="M450" s="27"/>
      <c r="N450" s="15">
        <f>SUMPRODUCT((M421:M449=O428)*(N421:N449))</f>
        <v>0</v>
      </c>
    </row>
    <row r="451" spans="2:18" ht="9.9499999999999993" customHeight="1" thickBot="1"/>
    <row r="452" spans="2:18" ht="35.1" customHeight="1" thickBot="1">
      <c r="B452" s="505">
        <v>2012</v>
      </c>
      <c r="C452" s="506"/>
      <c r="D452" s="506"/>
      <c r="E452" s="506"/>
      <c r="F452" s="506"/>
      <c r="G452" s="506"/>
      <c r="H452" s="506"/>
      <c r="I452" s="506"/>
      <c r="J452" s="506"/>
      <c r="K452" s="506"/>
      <c r="L452" s="506"/>
      <c r="M452" s="506"/>
      <c r="N452" s="507"/>
      <c r="P452" s="46" t="s">
        <v>1258</v>
      </c>
      <c r="Q452" s="29" t="s">
        <v>1259</v>
      </c>
      <c r="R452" s="29" t="s">
        <v>1260</v>
      </c>
    </row>
    <row r="453" spans="2:18" ht="9.9499999999999993" customHeight="1">
      <c r="B453" s="162">
        <v>40918</v>
      </c>
      <c r="C453" s="160"/>
      <c r="D453" s="141"/>
      <c r="E453" s="140"/>
      <c r="F453" s="141"/>
      <c r="G453" s="140"/>
      <c r="H453" s="161"/>
      <c r="I453" s="142"/>
      <c r="J453" s="143"/>
      <c r="K453" s="142"/>
      <c r="L453" s="143"/>
      <c r="M453" s="142"/>
      <c r="N453" s="163"/>
    </row>
    <row r="454" spans="2:18" ht="9.9499999999999993" customHeight="1">
      <c r="B454" s="151">
        <v>40919</v>
      </c>
      <c r="C454" s="139"/>
      <c r="D454" s="14"/>
      <c r="E454" s="137"/>
      <c r="F454" s="14"/>
      <c r="G454" s="137"/>
      <c r="H454" s="109"/>
      <c r="I454" s="138"/>
      <c r="J454" s="15"/>
      <c r="K454" s="138"/>
      <c r="L454" s="15"/>
      <c r="M454" s="138"/>
      <c r="N454" s="152"/>
      <c r="O454" s="172" t="s">
        <v>828</v>
      </c>
      <c r="P454" s="14">
        <f>SUM(D453:D468)+SUM(F453:F468)+SUM(H453:H468)</f>
        <v>1</v>
      </c>
      <c r="Q454" s="14">
        <v>40</v>
      </c>
      <c r="R454" s="14">
        <f>P454*Q454</f>
        <v>40</v>
      </c>
    </row>
    <row r="455" spans="2:18" ht="9.9499999999999993" customHeight="1">
      <c r="B455" s="151">
        <v>40920</v>
      </c>
      <c r="C455" s="139"/>
      <c r="D455" s="14"/>
      <c r="E455" s="137"/>
      <c r="F455" s="14"/>
      <c r="G455" s="137"/>
      <c r="H455" s="109"/>
      <c r="I455" s="138"/>
      <c r="J455" s="15"/>
      <c r="K455" s="138"/>
      <c r="L455" s="15"/>
      <c r="M455" s="138"/>
      <c r="N455" s="152"/>
      <c r="O455" s="173" t="s">
        <v>1149</v>
      </c>
      <c r="P455" s="15">
        <f>SUM(J453:J468)+SUM(L453:L468)+SUM(N453:N468)</f>
        <v>6.5</v>
      </c>
      <c r="Q455" s="15">
        <v>25</v>
      </c>
      <c r="R455" s="15">
        <f>P455*Q455</f>
        <v>162.5</v>
      </c>
    </row>
    <row r="456" spans="2:18" ht="9.9499999999999993" customHeight="1">
      <c r="B456" s="151">
        <v>40921</v>
      </c>
      <c r="C456" s="139"/>
      <c r="D456" s="14"/>
      <c r="E456" s="137"/>
      <c r="F456" s="14"/>
      <c r="G456" s="137"/>
      <c r="H456" s="109"/>
      <c r="I456" s="138"/>
      <c r="J456" s="15"/>
      <c r="K456" s="138"/>
      <c r="L456" s="15"/>
      <c r="M456" s="138"/>
      <c r="N456" s="152"/>
      <c r="P456" s="16"/>
      <c r="Q456" s="16"/>
      <c r="R456" s="502">
        <f>R454+R455</f>
        <v>202.5</v>
      </c>
    </row>
    <row r="457" spans="2:18" ht="9.9499999999999993" customHeight="1">
      <c r="B457" s="151">
        <v>40922</v>
      </c>
      <c r="C457" s="139"/>
      <c r="D457" s="14"/>
      <c r="E457" s="137"/>
      <c r="F457" s="14"/>
      <c r="G457" s="137"/>
      <c r="H457" s="109"/>
      <c r="I457" s="138"/>
      <c r="J457" s="15"/>
      <c r="K457" s="138"/>
      <c r="L457" s="15"/>
      <c r="M457" s="138"/>
      <c r="N457" s="152"/>
      <c r="P457" s="16"/>
      <c r="Q457" s="16"/>
      <c r="R457" s="503"/>
    </row>
    <row r="458" spans="2:18" ht="9.9499999999999993" customHeight="1">
      <c r="B458" s="151">
        <v>40923</v>
      </c>
      <c r="C458" s="139"/>
      <c r="D458" s="14"/>
      <c r="E458" s="137"/>
      <c r="F458" s="14"/>
      <c r="G458" s="137"/>
      <c r="H458" s="109"/>
      <c r="I458" s="138"/>
      <c r="J458" s="15"/>
      <c r="K458" s="138"/>
      <c r="L458" s="15"/>
      <c r="M458" s="138"/>
      <c r="N458" s="152"/>
      <c r="R458" s="28"/>
    </row>
    <row r="459" spans="2:18" ht="9.9499999999999993" customHeight="1">
      <c r="B459" s="151">
        <v>40935</v>
      </c>
      <c r="C459" s="19" t="s">
        <v>1278</v>
      </c>
      <c r="D459" s="20">
        <v>0.5</v>
      </c>
      <c r="E459" s="137"/>
      <c r="F459" s="14"/>
      <c r="G459" s="137"/>
      <c r="H459" s="109"/>
      <c r="I459" s="23" t="s">
        <v>1275</v>
      </c>
      <c r="J459" s="24">
        <v>1</v>
      </c>
      <c r="K459" s="138"/>
      <c r="L459" s="15"/>
      <c r="M459" s="138"/>
      <c r="N459" s="152"/>
      <c r="P459" s="29"/>
    </row>
    <row r="460" spans="2:18" ht="9.9499999999999993" customHeight="1">
      <c r="B460" s="151">
        <v>40936</v>
      </c>
      <c r="C460" s="139"/>
      <c r="D460" s="14"/>
      <c r="E460" s="137"/>
      <c r="F460" s="14"/>
      <c r="G460" s="137"/>
      <c r="H460" s="109"/>
      <c r="I460" s="138"/>
      <c r="J460" s="15"/>
      <c r="K460" s="138"/>
      <c r="L460" s="15"/>
      <c r="M460" s="138"/>
      <c r="N460" s="152"/>
    </row>
    <row r="461" spans="2:18" ht="9.9499999999999993" customHeight="1">
      <c r="B461" s="151">
        <v>41096</v>
      </c>
      <c r="C461" s="139"/>
      <c r="D461" s="14"/>
      <c r="E461" s="137"/>
      <c r="F461" s="14"/>
      <c r="G461" s="137"/>
      <c r="H461" s="14"/>
      <c r="I461" s="23" t="s">
        <v>1276</v>
      </c>
      <c r="J461" s="24">
        <v>1</v>
      </c>
      <c r="K461" s="138"/>
      <c r="L461" s="15"/>
      <c r="M461" s="138"/>
      <c r="N461" s="152"/>
      <c r="O461" s="498" t="str">
        <f>T11</f>
        <v>volkswagen</v>
      </c>
      <c r="P461" s="29"/>
    </row>
    <row r="462" spans="2:18" ht="9.9499999999999993" customHeight="1">
      <c r="B462" s="151">
        <v>41204</v>
      </c>
      <c r="C462" s="137"/>
      <c r="D462" s="14"/>
      <c r="E462" s="137"/>
      <c r="F462" s="14"/>
      <c r="G462" s="137"/>
      <c r="H462" s="14"/>
      <c r="I462" s="138"/>
      <c r="J462" s="15"/>
      <c r="K462" s="138"/>
      <c r="L462" s="15"/>
      <c r="M462" s="138"/>
      <c r="N462" s="152"/>
      <c r="O462" s="499"/>
    </row>
    <row r="463" spans="2:18" ht="9.9499999999999993" customHeight="1">
      <c r="B463" s="151">
        <v>41205</v>
      </c>
      <c r="C463" s="21" t="s">
        <v>1279</v>
      </c>
      <c r="D463" s="20">
        <v>0.5</v>
      </c>
      <c r="E463" s="137"/>
      <c r="F463" s="14"/>
      <c r="G463" s="137"/>
      <c r="H463" s="14"/>
      <c r="I463" s="138"/>
      <c r="J463" s="15"/>
      <c r="K463" s="138"/>
      <c r="L463" s="15"/>
      <c r="M463" s="138"/>
      <c r="N463" s="152"/>
    </row>
    <row r="464" spans="2:18" ht="9.9499999999999993" customHeight="1">
      <c r="B464" s="151">
        <v>41269</v>
      </c>
      <c r="C464" s="137"/>
      <c r="D464" s="14"/>
      <c r="E464" s="137"/>
      <c r="F464" s="14"/>
      <c r="G464" s="137"/>
      <c r="H464" s="14"/>
      <c r="I464" s="23" t="s">
        <v>1277</v>
      </c>
      <c r="J464" s="24">
        <v>4</v>
      </c>
      <c r="K464" s="138"/>
      <c r="L464" s="15"/>
      <c r="M464" s="138"/>
      <c r="N464" s="152"/>
      <c r="O464" s="172" t="s">
        <v>828</v>
      </c>
      <c r="P464" s="14">
        <f>SUM(D469+F469+H469)</f>
        <v>0</v>
      </c>
      <c r="Q464" s="14">
        <f>Q454</f>
        <v>40</v>
      </c>
      <c r="R464" s="14">
        <f>P464*Q464</f>
        <v>0</v>
      </c>
    </row>
    <row r="465" spans="2:18" ht="9.9499999999999993" customHeight="1">
      <c r="B465" s="151">
        <v>41270</v>
      </c>
      <c r="C465" s="137"/>
      <c r="D465" s="14"/>
      <c r="E465" s="137"/>
      <c r="F465" s="14"/>
      <c r="G465" s="137"/>
      <c r="H465" s="14"/>
      <c r="I465" s="23" t="s">
        <v>1277</v>
      </c>
      <c r="J465" s="24">
        <v>0.5</v>
      </c>
      <c r="K465" s="138"/>
      <c r="L465" s="15"/>
      <c r="M465" s="138"/>
      <c r="N465" s="152"/>
      <c r="O465" s="173" t="s">
        <v>1149</v>
      </c>
      <c r="P465" s="17">
        <f>SUM(J469+L469+N469)</f>
        <v>0</v>
      </c>
      <c r="Q465" s="17">
        <f>Q455</f>
        <v>25</v>
      </c>
      <c r="R465" s="17">
        <f>P465*Q465</f>
        <v>0</v>
      </c>
    </row>
    <row r="466" spans="2:18" ht="9.9499999999999993" customHeight="1">
      <c r="B466" s="151">
        <v>41271</v>
      </c>
      <c r="C466" s="137"/>
      <c r="D466" s="14"/>
      <c r="E466" s="137"/>
      <c r="F466" s="14"/>
      <c r="G466" s="137"/>
      <c r="H466" s="14"/>
      <c r="I466" s="138"/>
      <c r="J466" s="15"/>
      <c r="K466" s="138"/>
      <c r="L466" s="15"/>
      <c r="M466" s="138"/>
      <c r="N466" s="152"/>
      <c r="R466" s="504">
        <f>R464+R465</f>
        <v>0</v>
      </c>
    </row>
    <row r="467" spans="2:18" ht="9.9499999999999993" customHeight="1">
      <c r="B467" s="151">
        <v>41272</v>
      </c>
      <c r="C467" s="137"/>
      <c r="D467" s="14"/>
      <c r="E467" s="137"/>
      <c r="F467" s="14"/>
      <c r="G467" s="137"/>
      <c r="H467" s="14"/>
      <c r="I467" s="138"/>
      <c r="J467" s="15"/>
      <c r="K467" s="138"/>
      <c r="L467" s="15"/>
      <c r="M467" s="138"/>
      <c r="N467" s="152"/>
      <c r="R467" s="501"/>
    </row>
    <row r="468" spans="2:18" ht="9.9499999999999993" customHeight="1" thickBot="1">
      <c r="B468" s="153">
        <v>41273</v>
      </c>
      <c r="C468" s="155"/>
      <c r="D468" s="154"/>
      <c r="E468" s="155"/>
      <c r="F468" s="154"/>
      <c r="G468" s="155"/>
      <c r="H468" s="154"/>
      <c r="I468" s="156"/>
      <c r="J468" s="157"/>
      <c r="K468" s="156"/>
      <c r="L468" s="157"/>
      <c r="M468" s="156"/>
      <c r="N468" s="158"/>
    </row>
    <row r="469" spans="2:18" ht="9.9499999999999993" customHeight="1">
      <c r="D469" s="14">
        <f>SUMPRODUCT((C453:C468=O461)*(D453:D468))</f>
        <v>0</v>
      </c>
      <c r="E469" s="27"/>
      <c r="F469" s="14">
        <f>SUMPRODUCT((E453:E468=O461)*(F453:F468))</f>
        <v>0</v>
      </c>
      <c r="G469" s="27"/>
      <c r="H469" s="14">
        <f>SUMPRODUCT((G453:G468=O461)*(H453:H468))</f>
        <v>0</v>
      </c>
      <c r="I469" s="27"/>
      <c r="J469" s="15">
        <f>SUMPRODUCT((I453:I468=O461)*(J453:J468))</f>
        <v>0</v>
      </c>
      <c r="K469" s="27"/>
      <c r="L469" s="15">
        <f>SUMPRODUCT((K453:K468=O461)*(L453:L468))</f>
        <v>0</v>
      </c>
      <c r="M469" s="27"/>
      <c r="N469" s="15">
        <f>SUMPRODUCT((M453:M468=O461)*(N453:N468))</f>
        <v>0</v>
      </c>
    </row>
  </sheetData>
  <sortState ref="W19:W57">
    <sortCondition ref="W19"/>
  </sortState>
  <mergeCells count="81">
    <mergeCell ref="R29:S30"/>
    <mergeCell ref="R31:S32"/>
    <mergeCell ref="R51:S52"/>
    <mergeCell ref="R49:S50"/>
    <mergeCell ref="R47:S48"/>
    <mergeCell ref="R33:S34"/>
    <mergeCell ref="R35:S36"/>
    <mergeCell ref="R37:S38"/>
    <mergeCell ref="S5:S6"/>
    <mergeCell ref="R21:S22"/>
    <mergeCell ref="R23:S24"/>
    <mergeCell ref="R25:S26"/>
    <mergeCell ref="R27:S28"/>
    <mergeCell ref="R5:R6"/>
    <mergeCell ref="B420:N420"/>
    <mergeCell ref="B452:N452"/>
    <mergeCell ref="R466:R467"/>
    <mergeCell ref="R172:R173"/>
    <mergeCell ref="B2:N2"/>
    <mergeCell ref="B285:N285"/>
    <mergeCell ref="B383:N383"/>
    <mergeCell ref="O167:O168"/>
    <mergeCell ref="B162:N162"/>
    <mergeCell ref="P5:Q6"/>
    <mergeCell ref="P15:Q16"/>
    <mergeCell ref="O11:S12"/>
    <mergeCell ref="R55:S56"/>
    <mergeCell ref="R19:S20"/>
    <mergeCell ref="R15:R16"/>
    <mergeCell ref="S15:S16"/>
    <mergeCell ref="R165:R166"/>
    <mergeCell ref="O428:O429"/>
    <mergeCell ref="R433:R434"/>
    <mergeCell ref="R456:R457"/>
    <mergeCell ref="O461:O462"/>
    <mergeCell ref="R387:R388"/>
    <mergeCell ref="O391:O392"/>
    <mergeCell ref="R396:R397"/>
    <mergeCell ref="R423:R424"/>
    <mergeCell ref="R288:R289"/>
    <mergeCell ref="O290:O291"/>
    <mergeCell ref="R295:R296"/>
    <mergeCell ref="W5:W6"/>
    <mergeCell ref="T11:X12"/>
    <mergeCell ref="X5:X6"/>
    <mergeCell ref="T15:T16"/>
    <mergeCell ref="W15:W16"/>
    <mergeCell ref="U15:V16"/>
    <mergeCell ref="X15:X16"/>
    <mergeCell ref="U14:V14"/>
    <mergeCell ref="T5:T6"/>
    <mergeCell ref="U2:V2"/>
    <mergeCell ref="U3:V3"/>
    <mergeCell ref="U4:V4"/>
    <mergeCell ref="U5:V6"/>
    <mergeCell ref="U13:V13"/>
    <mergeCell ref="T55:U56"/>
    <mergeCell ref="T19:U20"/>
    <mergeCell ref="T49:U50"/>
    <mergeCell ref="T51:U52"/>
    <mergeCell ref="T43:U44"/>
    <mergeCell ref="T45:U46"/>
    <mergeCell ref="T47:U48"/>
    <mergeCell ref="T21:U22"/>
    <mergeCell ref="T23:U24"/>
    <mergeCell ref="T25:U26"/>
    <mergeCell ref="T27:U28"/>
    <mergeCell ref="T29:U30"/>
    <mergeCell ref="T31:U32"/>
    <mergeCell ref="T37:U38"/>
    <mergeCell ref="T39:U40"/>
    <mergeCell ref="T41:U42"/>
    <mergeCell ref="T33:U34"/>
    <mergeCell ref="T35:U36"/>
    <mergeCell ref="R43:S44"/>
    <mergeCell ref="R45:S46"/>
    <mergeCell ref="T53:U54"/>
    <mergeCell ref="R39:S40"/>
    <mergeCell ref="R41:S42"/>
    <mergeCell ref="R53:R54"/>
    <mergeCell ref="S53:S54"/>
  </mergeCells>
  <conditionalFormatting sqref="D3">
    <cfRule type="expression" dxfId="305" priority="6795" stopIfTrue="1">
      <formula>$C3:$C159=$T$11</formula>
    </cfRule>
  </conditionalFormatting>
  <conditionalFormatting sqref="F3">
    <cfRule type="expression" dxfId="304" priority="6796" stopIfTrue="1">
      <formula>$E3:$E159=$T$11</formula>
    </cfRule>
  </conditionalFormatting>
  <conditionalFormatting sqref="H3">
    <cfRule type="expression" dxfId="303" priority="6797" stopIfTrue="1">
      <formula>$G3:$G159=$T$11</formula>
    </cfRule>
  </conditionalFormatting>
  <conditionalFormatting sqref="J3">
    <cfRule type="expression" dxfId="302" priority="6798" stopIfTrue="1">
      <formula>$I3:$I159=$T$11</formula>
    </cfRule>
  </conditionalFormatting>
  <conditionalFormatting sqref="L3">
    <cfRule type="expression" dxfId="301" priority="6799" stopIfTrue="1">
      <formula>$K3:$K159=$T$11</formula>
    </cfRule>
  </conditionalFormatting>
  <conditionalFormatting sqref="N3">
    <cfRule type="expression" dxfId="300" priority="6800" stopIfTrue="1">
      <formula>$M3:$M159=$T$11</formula>
    </cfRule>
  </conditionalFormatting>
  <conditionalFormatting sqref="F384">
    <cfRule type="expression" dxfId="299" priority="6801" stopIfTrue="1">
      <formula>$E384:$E417=$T$11</formula>
    </cfRule>
  </conditionalFormatting>
  <conditionalFormatting sqref="J384">
    <cfRule type="expression" dxfId="298" priority="6802" stopIfTrue="1">
      <formula>$I384:$I417=$T$11</formula>
    </cfRule>
  </conditionalFormatting>
  <conditionalFormatting sqref="L384">
    <cfRule type="expression" dxfId="297" priority="6803" stopIfTrue="1">
      <formula>$K384:$K417=$T$11</formula>
    </cfRule>
  </conditionalFormatting>
  <conditionalFormatting sqref="N384">
    <cfRule type="expression" dxfId="296" priority="6804" stopIfTrue="1">
      <formula>$M384:$M417=$T$11</formula>
    </cfRule>
  </conditionalFormatting>
  <conditionalFormatting sqref="H384">
    <cfRule type="expression" dxfId="295" priority="6805" stopIfTrue="1">
      <formula>$G384:$G417=$T$11</formula>
    </cfRule>
  </conditionalFormatting>
  <conditionalFormatting sqref="D384">
    <cfRule type="expression" dxfId="294" priority="6806">
      <formula>$C384:$C417=$T$11</formula>
    </cfRule>
  </conditionalFormatting>
  <conditionalFormatting sqref="D421">
    <cfRule type="expression" dxfId="293" priority="6807" stopIfTrue="1">
      <formula>$C421:$C449=$T$11</formula>
    </cfRule>
  </conditionalFormatting>
  <conditionalFormatting sqref="F421">
    <cfRule type="expression" dxfId="292" priority="6808" stopIfTrue="1">
      <formula>$E421:$E449=$T$11</formula>
    </cfRule>
  </conditionalFormatting>
  <conditionalFormatting sqref="H421">
    <cfRule type="expression" dxfId="291" priority="6809" stopIfTrue="1">
      <formula>$G421:$G449=$T$11</formula>
    </cfRule>
  </conditionalFormatting>
  <conditionalFormatting sqref="L421">
    <cfRule type="expression" dxfId="290" priority="6810" stopIfTrue="1">
      <formula>$K421:$K449=$T$11</formula>
    </cfRule>
  </conditionalFormatting>
  <conditionalFormatting sqref="N421">
    <cfRule type="expression" dxfId="289" priority="6811" stopIfTrue="1">
      <formula>$M421:$M449=$T$11</formula>
    </cfRule>
  </conditionalFormatting>
  <conditionalFormatting sqref="J421">
    <cfRule type="expression" dxfId="288" priority="6812" stopIfTrue="1">
      <formula>$I421:$I449=$T$11</formula>
    </cfRule>
  </conditionalFormatting>
  <conditionalFormatting sqref="D453">
    <cfRule type="expression" dxfId="287" priority="6813">
      <formula>$C453:$C468=$T$11</formula>
    </cfRule>
  </conditionalFormatting>
  <conditionalFormatting sqref="F453">
    <cfRule type="expression" dxfId="286" priority="6814">
      <formula>$E453:$E468=$T$11</formula>
    </cfRule>
  </conditionalFormatting>
  <conditionalFormatting sqref="H453">
    <cfRule type="expression" dxfId="285" priority="6815">
      <formula>$G453:$G468=$T$11</formula>
    </cfRule>
  </conditionalFormatting>
  <conditionalFormatting sqref="J453">
    <cfRule type="expression" dxfId="284" priority="6816">
      <formula>$I453:$I468=$T$11</formula>
    </cfRule>
  </conditionalFormatting>
  <conditionalFormatting sqref="L453">
    <cfRule type="expression" dxfId="283" priority="6817">
      <formula>$K453:$K468=$T$11</formula>
    </cfRule>
  </conditionalFormatting>
  <conditionalFormatting sqref="N453">
    <cfRule type="expression" dxfId="282" priority="6818">
      <formula>$M453:$M468=$T$11</formula>
    </cfRule>
  </conditionalFormatting>
  <conditionalFormatting sqref="D286">
    <cfRule type="expression" dxfId="281" priority="6819">
      <formula>$C286:$C380=$T$11</formula>
    </cfRule>
  </conditionalFormatting>
  <conditionalFormatting sqref="F286">
    <cfRule type="expression" dxfId="280" priority="6820">
      <formula>$E286:$E380=$T$11</formula>
    </cfRule>
  </conditionalFormatting>
  <conditionalFormatting sqref="H286">
    <cfRule type="expression" dxfId="279" priority="6821">
      <formula>$G286:$G380=$T$11</formula>
    </cfRule>
  </conditionalFormatting>
  <conditionalFormatting sqref="J286">
    <cfRule type="expression" dxfId="278" priority="6822">
      <formula>$I286:$I380=$T$11</formula>
    </cfRule>
  </conditionalFormatting>
  <conditionalFormatting sqref="L286">
    <cfRule type="expression" dxfId="277" priority="6823">
      <formula>$K286:$K380=$T$11</formula>
    </cfRule>
  </conditionalFormatting>
  <conditionalFormatting sqref="N286">
    <cfRule type="expression" dxfId="276" priority="6824">
      <formula>$M286:$M380=$T$11</formula>
    </cfRule>
  </conditionalFormatting>
  <conditionalFormatting sqref="D163">
    <cfRule type="expression" dxfId="275" priority="6825" stopIfTrue="1">
      <formula>$C163:$C282=$T$11</formula>
    </cfRule>
  </conditionalFormatting>
  <conditionalFormatting sqref="F163">
    <cfRule type="expression" dxfId="274" priority="6826" stopIfTrue="1">
      <formula>$E163:$E282=$T$11</formula>
    </cfRule>
  </conditionalFormatting>
  <conditionalFormatting sqref="H163">
    <cfRule type="expression" dxfId="273" priority="6827" stopIfTrue="1">
      <formula>$G163:$G282=$T$11</formula>
    </cfRule>
  </conditionalFormatting>
  <conditionalFormatting sqref="J163">
    <cfRule type="expression" dxfId="272" priority="6828" stopIfTrue="1">
      <formula>$I163:$I282=$T$11</formula>
    </cfRule>
  </conditionalFormatting>
  <conditionalFormatting sqref="L163">
    <cfRule type="expression" dxfId="271" priority="6829" stopIfTrue="1">
      <formula>$K163:$K282=$T$11</formula>
    </cfRule>
  </conditionalFormatting>
  <conditionalFormatting sqref="N163">
    <cfRule type="expression" dxfId="270" priority="6830" stopIfTrue="1">
      <formula>$M163:$M282=$T$11</formula>
    </cfRule>
  </conditionalFormatting>
  <conditionalFormatting sqref="D4:D127">
    <cfRule type="expression" dxfId="269" priority="6831" stopIfTrue="1">
      <formula>$C4:$C159=$T$11</formula>
    </cfRule>
  </conditionalFormatting>
  <conditionalFormatting sqref="F4:F127">
    <cfRule type="expression" dxfId="268" priority="6832" stopIfTrue="1">
      <formula>$E4:$E159=$T$11</formula>
    </cfRule>
  </conditionalFormatting>
  <conditionalFormatting sqref="H4:H127">
    <cfRule type="expression" dxfId="267" priority="6833" stopIfTrue="1">
      <formula>$G4:$G159=$T$11</formula>
    </cfRule>
  </conditionalFormatting>
  <conditionalFormatting sqref="J4:J127">
    <cfRule type="expression" dxfId="266" priority="6834" stopIfTrue="1">
      <formula>$I4:$I159=$T$11</formula>
    </cfRule>
  </conditionalFormatting>
  <conditionalFormatting sqref="L4:L127">
    <cfRule type="expression" dxfId="265" priority="6835" stopIfTrue="1">
      <formula>$K4:$K159=$T$11</formula>
    </cfRule>
  </conditionalFormatting>
  <conditionalFormatting sqref="N4:N127">
    <cfRule type="expression" dxfId="264" priority="6836" stopIfTrue="1">
      <formula>$M4:$M159=$T$11</formula>
    </cfRule>
  </conditionalFormatting>
  <conditionalFormatting sqref="D164:D262">
    <cfRule type="expression" dxfId="263" priority="6837" stopIfTrue="1">
      <formula>$C164:$C282=$T$11</formula>
    </cfRule>
  </conditionalFormatting>
  <conditionalFormatting sqref="F164:F262">
    <cfRule type="expression" dxfId="262" priority="6838" stopIfTrue="1">
      <formula>$E164:$E282=$T$11</formula>
    </cfRule>
  </conditionalFormatting>
  <conditionalFormatting sqref="H164:H262">
    <cfRule type="expression" dxfId="261" priority="6839" stopIfTrue="1">
      <formula>$G164:$G282=$T$11</formula>
    </cfRule>
  </conditionalFormatting>
  <conditionalFormatting sqref="J164:J262">
    <cfRule type="expression" dxfId="260" priority="6840" stopIfTrue="1">
      <formula>$I164:$I282=$T$11</formula>
    </cfRule>
  </conditionalFormatting>
  <conditionalFormatting sqref="L164:L262">
    <cfRule type="expression" dxfId="259" priority="6841" stopIfTrue="1">
      <formula>$K164:$K282=$T$11</formula>
    </cfRule>
  </conditionalFormatting>
  <conditionalFormatting sqref="N164:N262">
    <cfRule type="expression" dxfId="258" priority="6842" stopIfTrue="1">
      <formula>$M164:$M282=$T$11</formula>
    </cfRule>
  </conditionalFormatting>
  <conditionalFormatting sqref="D128:D159">
    <cfRule type="expression" dxfId="257" priority="6843" stopIfTrue="1">
      <formula>$C128:$C282=$T$11</formula>
    </cfRule>
  </conditionalFormatting>
  <conditionalFormatting sqref="F128:F159">
    <cfRule type="expression" dxfId="256" priority="6844" stopIfTrue="1">
      <formula>$E128:$E282=$T$11</formula>
    </cfRule>
  </conditionalFormatting>
  <conditionalFormatting sqref="H128:H159">
    <cfRule type="expression" dxfId="255" priority="6845" stopIfTrue="1">
      <formula>$G128:$G282=$T$11</formula>
    </cfRule>
  </conditionalFormatting>
  <conditionalFormatting sqref="J128:J159">
    <cfRule type="expression" dxfId="254" priority="6846" stopIfTrue="1">
      <formula>$I128:$I282=$T$11</formula>
    </cfRule>
  </conditionalFormatting>
  <conditionalFormatting sqref="L128:L159">
    <cfRule type="expression" dxfId="253" priority="6847" stopIfTrue="1">
      <formula>$K128:$K282=$T$11</formula>
    </cfRule>
  </conditionalFormatting>
  <conditionalFormatting sqref="N128:N159">
    <cfRule type="expression" dxfId="252" priority="6848" stopIfTrue="1">
      <formula>$M128:$M282=$T$11</formula>
    </cfRule>
  </conditionalFormatting>
  <conditionalFormatting sqref="D287:D324">
    <cfRule type="expression" dxfId="251" priority="6849">
      <formula>$C287:$C380=$T$11</formula>
    </cfRule>
  </conditionalFormatting>
  <conditionalFormatting sqref="F287:F324">
    <cfRule type="expression" dxfId="250" priority="6850">
      <formula>$E287:$E380=$T$11</formula>
    </cfRule>
  </conditionalFormatting>
  <conditionalFormatting sqref="H287:H324">
    <cfRule type="expression" dxfId="249" priority="6851">
      <formula>$G287:$G380=$T$11</formula>
    </cfRule>
  </conditionalFormatting>
  <conditionalFormatting sqref="J287:J324">
    <cfRule type="expression" dxfId="248" priority="6852">
      <formula>$I287:$I380=$T$11</formula>
    </cfRule>
  </conditionalFormatting>
  <conditionalFormatting sqref="L287:L324">
    <cfRule type="expression" dxfId="247" priority="6853">
      <formula>$K287:$K380=$T$11</formula>
    </cfRule>
  </conditionalFormatting>
  <conditionalFormatting sqref="N287:N324">
    <cfRule type="expression" dxfId="246" priority="6854">
      <formula>$M287:$M380=$T$11</formula>
    </cfRule>
  </conditionalFormatting>
  <conditionalFormatting sqref="D263:D282">
    <cfRule type="expression" dxfId="245" priority="6855" stopIfTrue="1">
      <formula>$C263:$C380=$T$11</formula>
    </cfRule>
  </conditionalFormatting>
  <conditionalFormatting sqref="F263:F282">
    <cfRule type="expression" dxfId="244" priority="6856" stopIfTrue="1">
      <formula>$E263:$E380=$T$11</formula>
    </cfRule>
  </conditionalFormatting>
  <conditionalFormatting sqref="H263:H282">
    <cfRule type="expression" dxfId="243" priority="6857" stopIfTrue="1">
      <formula>$G263:$G380=$T$11</formula>
    </cfRule>
  </conditionalFormatting>
  <conditionalFormatting sqref="J263:J282">
    <cfRule type="expression" dxfId="242" priority="6858" stopIfTrue="1">
      <formula>$I263:$I380=$T$11</formula>
    </cfRule>
  </conditionalFormatting>
  <conditionalFormatting sqref="L263:L282">
    <cfRule type="expression" dxfId="241" priority="6859" stopIfTrue="1">
      <formula>$K263:$K380=$T$11</formula>
    </cfRule>
  </conditionalFormatting>
  <conditionalFormatting sqref="N263:N282">
    <cfRule type="expression" dxfId="240" priority="6860" stopIfTrue="1">
      <formula>$M263:$M380=$T$11</formula>
    </cfRule>
  </conditionalFormatting>
  <conditionalFormatting sqref="F385:F417">
    <cfRule type="expression" dxfId="239" priority="6861" stopIfTrue="1">
      <formula>$E385:$E417=$T$11</formula>
    </cfRule>
  </conditionalFormatting>
  <conditionalFormatting sqref="J385:J417">
    <cfRule type="expression" dxfId="238" priority="6862" stopIfTrue="1">
      <formula>$I385:$I417=$T$11</formula>
    </cfRule>
  </conditionalFormatting>
  <conditionalFormatting sqref="L385:L417">
    <cfRule type="expression" dxfId="237" priority="6863" stopIfTrue="1">
      <formula>$K385:$K417=$T$11</formula>
    </cfRule>
  </conditionalFormatting>
  <conditionalFormatting sqref="N385:N417">
    <cfRule type="expression" dxfId="236" priority="6864" stopIfTrue="1">
      <formula>$M385:$M417=$T$11</formula>
    </cfRule>
  </conditionalFormatting>
  <conditionalFormatting sqref="H385:H417">
    <cfRule type="expression" dxfId="235" priority="6865" stopIfTrue="1">
      <formula>$G385:$G417=$T$11</formula>
    </cfRule>
  </conditionalFormatting>
  <conditionalFormatting sqref="D385:D417">
    <cfRule type="expression" dxfId="234" priority="6866">
      <formula>$C385:$C417=$T$11</formula>
    </cfRule>
  </conditionalFormatting>
  <conditionalFormatting sqref="D325:D357">
    <cfRule type="expression" dxfId="233" priority="6867">
      <formula>$C325:$C417=$T$11</formula>
    </cfRule>
  </conditionalFormatting>
  <conditionalFormatting sqref="F325:F357">
    <cfRule type="expression" dxfId="232" priority="6868">
      <formula>$E325:$E417=$T$11</formula>
    </cfRule>
  </conditionalFormatting>
  <conditionalFormatting sqref="H325:H357">
    <cfRule type="expression" dxfId="231" priority="6869">
      <formula>$G325:$G417=$T$11</formula>
    </cfRule>
  </conditionalFormatting>
  <conditionalFormatting sqref="J325:J357">
    <cfRule type="expression" dxfId="230" priority="6870">
      <formula>$I325:$I417=$T$11</formula>
    </cfRule>
  </conditionalFormatting>
  <conditionalFormatting sqref="L325:L357">
    <cfRule type="expression" dxfId="229" priority="6871">
      <formula>$K325:$K417=$T$11</formula>
    </cfRule>
  </conditionalFormatting>
  <conditionalFormatting sqref="N325:N357">
    <cfRule type="expression" dxfId="228" priority="6872">
      <formula>$M325:$M417=$T$11</formula>
    </cfRule>
  </conditionalFormatting>
  <conditionalFormatting sqref="D422:D441">
    <cfRule type="expression" dxfId="227" priority="6873" stopIfTrue="1">
      <formula>$C422:$C449=$T$11</formula>
    </cfRule>
  </conditionalFormatting>
  <conditionalFormatting sqref="F422:F441">
    <cfRule type="expression" dxfId="226" priority="6874" stopIfTrue="1">
      <formula>$E422:$E449=$T$11</formula>
    </cfRule>
  </conditionalFormatting>
  <conditionalFormatting sqref="H422:H441">
    <cfRule type="expression" dxfId="225" priority="6875" stopIfTrue="1">
      <formula>$G422:$G449=$T$11</formula>
    </cfRule>
  </conditionalFormatting>
  <conditionalFormatting sqref="L422:L441">
    <cfRule type="expression" dxfId="224" priority="6876" stopIfTrue="1">
      <formula>$K422:$K449=$T$11</formula>
    </cfRule>
  </conditionalFormatting>
  <conditionalFormatting sqref="N422:N441">
    <cfRule type="expression" dxfId="223" priority="6877" stopIfTrue="1">
      <formula>$M422:$M449=$T$11</formula>
    </cfRule>
  </conditionalFormatting>
  <conditionalFormatting sqref="J422:J441">
    <cfRule type="expression" dxfId="222" priority="6878" stopIfTrue="1">
      <formula>$I422:$I449=$T$11</formula>
    </cfRule>
  </conditionalFormatting>
  <conditionalFormatting sqref="D358:D377">
    <cfRule type="expression" dxfId="221" priority="6879">
      <formula>$C358:$C449=$T$11</formula>
    </cfRule>
  </conditionalFormatting>
  <conditionalFormatting sqref="F358:F377">
    <cfRule type="expression" dxfId="220" priority="6880">
      <formula>$E358:$E449=$T$11</formula>
    </cfRule>
  </conditionalFormatting>
  <conditionalFormatting sqref="H358:H377">
    <cfRule type="expression" dxfId="219" priority="6881">
      <formula>$G358:$G449=$T$11</formula>
    </cfRule>
  </conditionalFormatting>
  <conditionalFormatting sqref="J358:J377">
    <cfRule type="expression" dxfId="218" priority="6882">
      <formula>$I358:$I449=$T$11</formula>
    </cfRule>
  </conditionalFormatting>
  <conditionalFormatting sqref="L358:L377">
    <cfRule type="expression" dxfId="217" priority="6883">
      <formula>$K358:$K449=$T$11</formula>
    </cfRule>
  </conditionalFormatting>
  <conditionalFormatting sqref="N358:N377">
    <cfRule type="expression" dxfId="216" priority="6884">
      <formula>$M358:$M449=$T$11</formula>
    </cfRule>
  </conditionalFormatting>
  <conditionalFormatting sqref="D454:D468">
    <cfRule type="expression" dxfId="215" priority="6885">
      <formula>$C454:$C468=$T$11</formula>
    </cfRule>
  </conditionalFormatting>
  <conditionalFormatting sqref="F454:F468">
    <cfRule type="expression" dxfId="214" priority="6886">
      <formula>$E454:$E468=$T$11</formula>
    </cfRule>
  </conditionalFormatting>
  <conditionalFormatting sqref="H454:H468">
    <cfRule type="expression" dxfId="213" priority="6887">
      <formula>$G454:$G468=$T$11</formula>
    </cfRule>
  </conditionalFormatting>
  <conditionalFormatting sqref="J454:J468">
    <cfRule type="expression" dxfId="212" priority="6888">
      <formula>$I454:$I468=$T$11</formula>
    </cfRule>
  </conditionalFormatting>
  <conditionalFormatting sqref="L454:L468">
    <cfRule type="expression" dxfId="211" priority="6889">
      <formula>$K454:$K468=$T$11</formula>
    </cfRule>
  </conditionalFormatting>
  <conditionalFormatting sqref="N454:N468">
    <cfRule type="expression" dxfId="210" priority="6890">
      <formula>$M454:$M468=$T$11</formula>
    </cfRule>
  </conditionalFormatting>
  <conditionalFormatting sqref="D442:D449">
    <cfRule type="expression" dxfId="209" priority="6891" stopIfTrue="1">
      <formula>$C442:$C468=$T$11</formula>
    </cfRule>
  </conditionalFormatting>
  <conditionalFormatting sqref="F442:F449">
    <cfRule type="expression" dxfId="208" priority="6892" stopIfTrue="1">
      <formula>$E442:$E468=$T$11</formula>
    </cfRule>
  </conditionalFormatting>
  <conditionalFormatting sqref="H442:H449">
    <cfRule type="expression" dxfId="207" priority="6893" stopIfTrue="1">
      <formula>$G442:$G468=$T$11</formula>
    </cfRule>
  </conditionalFormatting>
  <conditionalFormatting sqref="L442:L449">
    <cfRule type="expression" dxfId="206" priority="6894" stopIfTrue="1">
      <formula>$K442:$K468=$T$11</formula>
    </cfRule>
  </conditionalFormatting>
  <conditionalFormatting sqref="N442:N449">
    <cfRule type="expression" dxfId="205" priority="6895" stopIfTrue="1">
      <formula>$M442:$M468=$T$11</formula>
    </cfRule>
  </conditionalFormatting>
  <conditionalFormatting sqref="J442:J449">
    <cfRule type="expression" dxfId="204" priority="6896" stopIfTrue="1">
      <formula>$I442:$I468=$T$11</formula>
    </cfRule>
  </conditionalFormatting>
  <conditionalFormatting sqref="D378:D380">
    <cfRule type="expression" dxfId="203" priority="6897">
      <formula>$C378:$C468=$T$11</formula>
    </cfRule>
  </conditionalFormatting>
  <conditionalFormatting sqref="F378:F380">
    <cfRule type="expression" dxfId="202" priority="6898">
      <formula>$E378:$E468=$T$11</formula>
    </cfRule>
  </conditionalFormatting>
  <conditionalFormatting sqref="H378:H380">
    <cfRule type="expression" dxfId="201" priority="6899">
      <formula>$G378:$G468=$T$11</formula>
    </cfRule>
  </conditionalFormatting>
  <conditionalFormatting sqref="J378:J380">
    <cfRule type="expression" dxfId="200" priority="6900">
      <formula>$I378:$I468=$T$11</formula>
    </cfRule>
  </conditionalFormatting>
  <conditionalFormatting sqref="L378:L380">
    <cfRule type="expression" dxfId="199" priority="6901">
      <formula>$K378:$K468=$T$11</formula>
    </cfRule>
  </conditionalFormatting>
  <conditionalFormatting sqref="N378:N380">
    <cfRule type="expression" dxfId="198" priority="6902">
      <formula>$M378:$M468=$T$11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Clients!$R$4:$R$6</xm:f>
          </x14:formula1>
          <xm:sqref>Q28:Q29 S53:S54</xm:sqref>
        </x14:dataValidation>
      </x14:dataValidation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240"/>
  <sheetViews>
    <sheetView workbookViewId="0">
      <selection activeCell="H19" sqref="H19"/>
    </sheetView>
  </sheetViews>
  <sheetFormatPr baseColWidth="10" defaultRowHeight="15" customHeight="1"/>
  <cols>
    <col min="1" max="16" width="10.7109375" style="176" customWidth="1"/>
    <col min="17" max="17" width="10.85546875" style="176" customWidth="1"/>
    <col min="18" max="19" width="4.7109375" style="176" customWidth="1"/>
    <col min="20" max="20" width="4" style="176" customWidth="1"/>
    <col min="21" max="21" width="5" style="176" customWidth="1"/>
    <col min="22" max="22" width="10.7109375" style="176" customWidth="1"/>
    <col min="23" max="23" width="21.140625" style="176" customWidth="1"/>
    <col min="24" max="24" width="8" style="176" customWidth="1"/>
    <col min="25" max="25" width="6.28515625" style="176" customWidth="1"/>
    <col min="26" max="26" width="5" style="176" customWidth="1"/>
    <col min="27" max="27" width="11.42578125" style="176"/>
    <col min="28" max="28" width="21.140625" style="176" bestFit="1" customWidth="1"/>
    <col min="29" max="16384" width="11.42578125" style="176"/>
  </cols>
  <sheetData>
    <row r="1" spans="1:31" ht="27">
      <c r="B1" s="318"/>
      <c r="C1" s="318"/>
      <c r="D1" s="318"/>
      <c r="E1" s="318"/>
      <c r="F1" s="318"/>
      <c r="G1" s="318"/>
      <c r="H1" s="190" t="s">
        <v>1641</v>
      </c>
      <c r="I1" s="191" t="s">
        <v>1543</v>
      </c>
      <c r="J1" s="318"/>
      <c r="K1" s="318"/>
      <c r="L1" s="318"/>
      <c r="M1" s="318"/>
      <c r="N1" s="318"/>
      <c r="O1" s="318"/>
      <c r="P1" s="318"/>
      <c r="Q1" s="179"/>
      <c r="R1" s="9"/>
      <c r="S1" s="9"/>
    </row>
    <row r="2" spans="1:31" ht="15" customHeight="1">
      <c r="A2" s="318"/>
      <c r="B2" s="318"/>
      <c r="C2" s="318"/>
      <c r="D2" s="318"/>
      <c r="E2" s="318"/>
      <c r="F2" s="318"/>
      <c r="G2" s="318"/>
      <c r="H2" s="318"/>
      <c r="I2" s="318"/>
      <c r="J2" s="318"/>
      <c r="K2" s="318"/>
      <c r="L2" s="318"/>
      <c r="M2" s="318"/>
      <c r="N2" s="318"/>
      <c r="O2" s="318"/>
      <c r="P2" s="318"/>
      <c r="Q2" s="179"/>
      <c r="V2" s="319"/>
    </row>
    <row r="3" spans="1:31" ht="12.75">
      <c r="A3" s="536" t="s">
        <v>1665</v>
      </c>
      <c r="B3" s="537"/>
      <c r="C3" s="195" t="s">
        <v>1654</v>
      </c>
      <c r="D3" s="195" t="s">
        <v>1653</v>
      </c>
      <c r="E3" s="195" t="s">
        <v>1652</v>
      </c>
      <c r="F3" s="195" t="s">
        <v>1655</v>
      </c>
      <c r="G3" s="195" t="s">
        <v>1656</v>
      </c>
      <c r="H3" s="195" t="s">
        <v>1657</v>
      </c>
      <c r="I3" s="195" t="s">
        <v>1658</v>
      </c>
      <c r="J3" s="195" t="s">
        <v>1659</v>
      </c>
      <c r="K3" s="195" t="s">
        <v>1660</v>
      </c>
      <c r="L3" s="195" t="s">
        <v>1661</v>
      </c>
      <c r="M3" s="195" t="s">
        <v>1662</v>
      </c>
      <c r="N3" s="195" t="s">
        <v>1663</v>
      </c>
      <c r="O3" s="195" t="s">
        <v>1664</v>
      </c>
      <c r="P3" s="196" t="s">
        <v>1672</v>
      </c>
      <c r="R3" s="9"/>
      <c r="S3" s="9"/>
      <c r="T3" s="9"/>
    </row>
    <row r="4" spans="1:31" ht="15" customHeight="1">
      <c r="A4" s="538" t="s">
        <v>1666</v>
      </c>
      <c r="B4" s="539"/>
      <c r="C4" s="175">
        <v>73.260000000000005</v>
      </c>
      <c r="D4" s="175">
        <v>9.58</v>
      </c>
      <c r="E4" s="175"/>
      <c r="F4" s="175">
        <v>1128.25</v>
      </c>
      <c r="G4" s="175"/>
      <c r="H4" s="175">
        <v>307.58000000000004</v>
      </c>
      <c r="I4" s="175">
        <v>83.5</v>
      </c>
      <c r="J4" s="175"/>
      <c r="K4" s="175"/>
      <c r="L4" s="175"/>
      <c r="M4" s="175"/>
      <c r="N4" s="175"/>
      <c r="O4" s="175"/>
      <c r="P4" s="175"/>
      <c r="Q4" s="177">
        <f>SUM(C4:P4)</f>
        <v>1602.17</v>
      </c>
      <c r="R4" s="178"/>
      <c r="S4" s="179"/>
      <c r="T4" s="9"/>
    </row>
    <row r="5" spans="1:31" ht="15" customHeight="1">
      <c r="A5" s="538" t="s">
        <v>1667</v>
      </c>
      <c r="B5" s="539"/>
      <c r="C5" s="174">
        <v>1.3</v>
      </c>
      <c r="D5" s="174">
        <v>1.3</v>
      </c>
      <c r="E5" s="174">
        <v>1.4</v>
      </c>
      <c r="F5" s="174">
        <v>1.3</v>
      </c>
      <c r="G5" s="174">
        <v>1.3</v>
      </c>
      <c r="H5" s="174">
        <v>1.3</v>
      </c>
      <c r="I5" s="174">
        <v>1.3</v>
      </c>
      <c r="J5" s="174">
        <v>1.1000000000000001</v>
      </c>
      <c r="K5" s="174">
        <v>1.3</v>
      </c>
      <c r="L5" s="174">
        <v>1.3</v>
      </c>
      <c r="M5" s="174">
        <v>1.3</v>
      </c>
      <c r="N5" s="174">
        <v>1.3</v>
      </c>
      <c r="O5" s="174">
        <v>1.3</v>
      </c>
      <c r="P5" s="174">
        <v>1.3</v>
      </c>
      <c r="Q5" s="177"/>
      <c r="R5" s="178"/>
      <c r="T5" s="9"/>
    </row>
    <row r="6" spans="1:31" ht="15" customHeight="1">
      <c r="A6" s="540" t="s">
        <v>1668</v>
      </c>
      <c r="B6" s="541"/>
      <c r="C6" s="180">
        <f>C5*C4</f>
        <v>95.238000000000014</v>
      </c>
      <c r="D6" s="180">
        <f t="shared" ref="D6:P6" si="0">D5*D4</f>
        <v>12.454000000000001</v>
      </c>
      <c r="E6" s="180">
        <f t="shared" si="0"/>
        <v>0</v>
      </c>
      <c r="F6" s="180">
        <f t="shared" si="0"/>
        <v>1466.7250000000001</v>
      </c>
      <c r="G6" s="180">
        <f t="shared" si="0"/>
        <v>0</v>
      </c>
      <c r="H6" s="180">
        <f t="shared" si="0"/>
        <v>399.85400000000004</v>
      </c>
      <c r="I6" s="180">
        <f t="shared" si="0"/>
        <v>108.55</v>
      </c>
      <c r="J6" s="180">
        <f t="shared" si="0"/>
        <v>0</v>
      </c>
      <c r="K6" s="180">
        <f t="shared" si="0"/>
        <v>0</v>
      </c>
      <c r="L6" s="180">
        <f t="shared" si="0"/>
        <v>0</v>
      </c>
      <c r="M6" s="180">
        <f t="shared" si="0"/>
        <v>0</v>
      </c>
      <c r="N6" s="180">
        <f t="shared" si="0"/>
        <v>0</v>
      </c>
      <c r="O6" s="180">
        <f t="shared" si="0"/>
        <v>0</v>
      </c>
      <c r="P6" s="180">
        <f t="shared" si="0"/>
        <v>0</v>
      </c>
      <c r="Q6" s="181">
        <f t="shared" ref="Q6" si="1">SUM(C6:P6)</f>
        <v>2082.8210000000004</v>
      </c>
      <c r="R6" s="542" t="s">
        <v>3</v>
      </c>
      <c r="S6" s="542"/>
      <c r="W6" s="9"/>
      <c r="X6" s="9"/>
      <c r="Y6" s="9"/>
    </row>
    <row r="7" spans="1:31" ht="15" customHeight="1">
      <c r="A7" s="184"/>
      <c r="B7" s="185"/>
      <c r="C7" s="186"/>
      <c r="D7" s="186"/>
      <c r="E7" s="186"/>
      <c r="F7" s="186"/>
      <c r="G7" s="186"/>
      <c r="H7" s="186"/>
      <c r="I7" s="186"/>
      <c r="J7" s="186"/>
      <c r="K7" s="186"/>
      <c r="L7" s="186"/>
      <c r="M7" s="186"/>
      <c r="N7" s="186"/>
      <c r="O7" s="186"/>
      <c r="P7" s="186"/>
      <c r="Q7" s="181">
        <f>Q6*S7/100</f>
        <v>208.28210000000001</v>
      </c>
      <c r="R7" s="182" t="s">
        <v>1182</v>
      </c>
      <c r="S7" s="183">
        <v>10</v>
      </c>
      <c r="W7" s="178"/>
      <c r="X7" s="9"/>
      <c r="Y7" s="9"/>
    </row>
    <row r="8" spans="1:31" ht="15" customHeight="1">
      <c r="D8" s="176" t="s">
        <v>1685</v>
      </c>
      <c r="E8" s="176" t="s">
        <v>1683</v>
      </c>
      <c r="H8" s="187" t="s">
        <v>1674</v>
      </c>
      <c r="K8" s="187" t="s">
        <v>1673</v>
      </c>
      <c r="N8" s="188" t="s">
        <v>1675</v>
      </c>
      <c r="Q8" s="181">
        <f>SUM(Q6+Q7)</f>
        <v>2291.1031000000003</v>
      </c>
      <c r="R8" s="542" t="s">
        <v>1669</v>
      </c>
      <c r="S8" s="542"/>
      <c r="T8" s="9"/>
      <c r="W8" s="178"/>
      <c r="X8" s="9"/>
      <c r="Y8" s="9"/>
    </row>
    <row r="9" spans="1:31" ht="15" customHeight="1">
      <c r="A9" s="320" t="s">
        <v>1641</v>
      </c>
      <c r="B9" s="320" t="s">
        <v>1640</v>
      </c>
      <c r="C9" s="320" t="s">
        <v>1642</v>
      </c>
      <c r="D9" s="320" t="s">
        <v>1643</v>
      </c>
      <c r="E9" s="320" t="s">
        <v>1644</v>
      </c>
      <c r="F9" s="320" t="s">
        <v>1520</v>
      </c>
      <c r="G9" s="320" t="s">
        <v>1645</v>
      </c>
      <c r="H9" s="320" t="s">
        <v>1646</v>
      </c>
      <c r="I9" s="320" t="s">
        <v>1647</v>
      </c>
      <c r="J9" s="320" t="s">
        <v>1648</v>
      </c>
      <c r="K9" s="320" t="s">
        <v>1649</v>
      </c>
      <c r="L9" s="320" t="s">
        <v>834</v>
      </c>
      <c r="M9" s="320" t="s">
        <v>1153</v>
      </c>
      <c r="N9" s="320" t="s">
        <v>1650</v>
      </c>
      <c r="O9" s="320" t="s">
        <v>1651</v>
      </c>
      <c r="P9" s="321" t="s">
        <v>1671</v>
      </c>
      <c r="R9" s="178"/>
      <c r="S9" s="9"/>
      <c r="T9" s="9"/>
      <c r="W9" s="178"/>
      <c r="X9" s="9"/>
      <c r="Y9" s="9"/>
    </row>
    <row r="10" spans="1:31" ht="15" customHeight="1">
      <c r="A10" s="322" t="s">
        <v>1251</v>
      </c>
      <c r="B10" s="323">
        <v>42005</v>
      </c>
      <c r="C10" s="175"/>
      <c r="D10" s="175">
        <v>2.99</v>
      </c>
      <c r="E10" s="175"/>
      <c r="F10" s="175"/>
      <c r="G10" s="175"/>
      <c r="H10" s="175"/>
      <c r="I10" s="175"/>
      <c r="J10" s="175"/>
      <c r="K10" s="175"/>
      <c r="L10" s="175"/>
      <c r="M10" s="175"/>
      <c r="N10" s="175"/>
      <c r="O10" s="175"/>
      <c r="P10" s="175"/>
      <c r="R10" s="178"/>
      <c r="S10" s="9"/>
      <c r="T10" s="9"/>
      <c r="W10" s="178"/>
      <c r="X10" s="9"/>
      <c r="Y10" s="9"/>
    </row>
    <row r="11" spans="1:31" ht="15" customHeight="1">
      <c r="A11" s="322" t="s">
        <v>1248</v>
      </c>
      <c r="B11" s="323">
        <v>42005</v>
      </c>
      <c r="C11" s="175">
        <v>-64.8</v>
      </c>
      <c r="D11" s="175"/>
      <c r="E11" s="175"/>
      <c r="F11" s="175"/>
      <c r="G11" s="175"/>
      <c r="H11" s="175"/>
      <c r="I11" s="175"/>
      <c r="J11" s="175"/>
      <c r="K11" s="175"/>
      <c r="L11" s="175"/>
      <c r="M11" s="175"/>
      <c r="N11" s="175"/>
      <c r="O11" s="175"/>
      <c r="P11" s="175"/>
      <c r="R11" s="178"/>
      <c r="S11" s="9"/>
      <c r="T11" s="9"/>
      <c r="W11" s="178"/>
      <c r="X11" s="9"/>
      <c r="Y11" s="9"/>
    </row>
    <row r="12" spans="1:31" ht="15" customHeight="1">
      <c r="A12" s="322" t="s">
        <v>1670</v>
      </c>
      <c r="B12" s="323">
        <v>42064</v>
      </c>
      <c r="C12" s="175"/>
      <c r="D12" s="175">
        <v>6.05</v>
      </c>
      <c r="E12" s="175"/>
      <c r="F12" s="175"/>
      <c r="G12" s="175"/>
      <c r="H12" s="175"/>
      <c r="I12" s="175"/>
      <c r="J12" s="175"/>
      <c r="K12" s="175"/>
      <c r="L12" s="175"/>
      <c r="M12" s="175"/>
      <c r="N12" s="175"/>
      <c r="O12" s="175"/>
      <c r="P12" s="175"/>
      <c r="R12" s="178"/>
      <c r="S12" s="9"/>
      <c r="T12" s="9"/>
      <c r="W12" s="178"/>
      <c r="X12" s="9"/>
      <c r="Y12" s="9"/>
    </row>
    <row r="13" spans="1:31" ht="15" customHeight="1">
      <c r="A13" s="322" t="s">
        <v>1248</v>
      </c>
      <c r="B13" s="323">
        <v>42064</v>
      </c>
      <c r="C13" s="175">
        <f>67.5+18.75+105.98+74.52+27.03+36.72</f>
        <v>330.5</v>
      </c>
      <c r="D13" s="175"/>
      <c r="E13" s="175"/>
      <c r="F13" s="175"/>
      <c r="G13" s="175"/>
      <c r="H13" s="175"/>
      <c r="I13" s="175"/>
      <c r="J13" s="175"/>
      <c r="K13" s="175"/>
      <c r="L13" s="175"/>
      <c r="M13" s="175"/>
      <c r="N13" s="175"/>
      <c r="O13" s="175"/>
      <c r="P13" s="175"/>
      <c r="R13" s="9"/>
      <c r="S13" s="9"/>
      <c r="T13" s="9"/>
      <c r="W13" s="178"/>
      <c r="X13" s="9"/>
      <c r="Y13" s="9"/>
    </row>
    <row r="14" spans="1:31" ht="15" customHeight="1">
      <c r="A14" s="322" t="s">
        <v>1252</v>
      </c>
      <c r="B14" s="323">
        <v>42095</v>
      </c>
      <c r="C14" s="175"/>
      <c r="D14" s="175">
        <f>21.03</f>
        <v>21.03</v>
      </c>
      <c r="E14" s="175"/>
      <c r="F14" s="175"/>
      <c r="G14" s="175"/>
      <c r="H14" s="175"/>
      <c r="I14" s="175"/>
      <c r="J14" s="175"/>
      <c r="K14" s="175"/>
      <c r="L14" s="175"/>
      <c r="M14" s="175"/>
      <c r="N14" s="175"/>
      <c r="O14" s="175"/>
      <c r="P14" s="175"/>
      <c r="R14" s="9"/>
      <c r="S14" s="9"/>
      <c r="T14" s="9"/>
      <c r="W14" s="178"/>
      <c r="X14" s="9"/>
      <c r="Y14" s="9"/>
    </row>
    <row r="15" spans="1:31" ht="15" customHeight="1">
      <c r="A15" s="322" t="s">
        <v>1248</v>
      </c>
      <c r="B15" s="323">
        <v>42095</v>
      </c>
      <c r="C15" s="175">
        <f>43.03+29.4+36.27+90+131.25+60.36+66.24+14.35+17.14+32.39+17.49+97.16+15.3+60.75+37.5+89.28+89.28+32.37+41.4+29.81+22.5+85.59+20.59+75+267.84+34.97+43.06+16.56+17.49</f>
        <v>1614.3699999999997</v>
      </c>
      <c r="D15" s="175"/>
      <c r="E15" s="175"/>
      <c r="F15" s="175"/>
      <c r="G15" s="175"/>
      <c r="H15" s="175"/>
      <c r="I15" s="175"/>
      <c r="J15" s="175"/>
      <c r="K15" s="175"/>
      <c r="L15" s="175"/>
      <c r="M15" s="175"/>
      <c r="N15" s="175"/>
      <c r="O15" s="175"/>
      <c r="P15" s="175"/>
      <c r="R15" s="9"/>
      <c r="S15" s="9"/>
      <c r="T15" s="9"/>
      <c r="W15" s="178"/>
      <c r="X15" s="9"/>
      <c r="Y15" s="9"/>
      <c r="Z15" s="9"/>
      <c r="AA15" s="9"/>
      <c r="AB15" s="9"/>
      <c r="AC15" s="9"/>
      <c r="AD15" s="9"/>
      <c r="AE15" s="9"/>
    </row>
    <row r="16" spans="1:31" ht="15" customHeight="1">
      <c r="A16" s="322" t="s">
        <v>1248</v>
      </c>
      <c r="B16" s="323">
        <v>42125</v>
      </c>
      <c r="C16" s="324">
        <f>17.49+29.4+15.3+30.91+29.84+71.76+19.44+16.84+15.3+7.35+42.5+27.03+15.3+24.84+29.4+71.76</f>
        <v>464.45999999999992</v>
      </c>
      <c r="D16" s="175"/>
      <c r="E16" s="175"/>
      <c r="F16" s="175"/>
      <c r="G16" s="175"/>
      <c r="H16" s="175"/>
      <c r="I16" s="175"/>
      <c r="J16" s="175"/>
      <c r="K16" s="175"/>
      <c r="L16" s="175"/>
      <c r="M16" s="175"/>
      <c r="N16" s="175"/>
      <c r="O16" s="175"/>
      <c r="P16" s="175"/>
      <c r="R16" s="9"/>
      <c r="S16" s="9"/>
      <c r="T16" s="9"/>
      <c r="W16" s="9"/>
      <c r="X16" s="9"/>
      <c r="Y16" s="9"/>
      <c r="Z16" s="9"/>
      <c r="AA16" s="9"/>
      <c r="AB16" s="9"/>
      <c r="AC16" s="9"/>
      <c r="AD16" s="9"/>
      <c r="AE16" s="9"/>
    </row>
    <row r="17" spans="1:31" ht="15" customHeight="1">
      <c r="A17" s="322" t="s">
        <v>1250</v>
      </c>
      <c r="B17" s="323">
        <v>42095</v>
      </c>
      <c r="C17" s="175"/>
      <c r="D17" s="175">
        <v>16.059999999999999</v>
      </c>
      <c r="E17" s="175"/>
      <c r="F17" s="175"/>
      <c r="G17" s="175"/>
      <c r="H17" s="175"/>
      <c r="I17" s="175"/>
      <c r="J17" s="175"/>
      <c r="K17" s="175"/>
      <c r="L17" s="175"/>
      <c r="M17" s="175"/>
      <c r="N17" s="175"/>
      <c r="O17" s="175"/>
      <c r="P17" s="175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</row>
    <row r="18" spans="1:31" ht="15" customHeight="1">
      <c r="A18" s="322" t="s">
        <v>1250</v>
      </c>
      <c r="B18" s="323">
        <v>42156</v>
      </c>
      <c r="C18" s="175"/>
      <c r="D18" s="175">
        <f>253.82+41.44+14.44+2.99+1.36+20.19+351.5</f>
        <v>685.74</v>
      </c>
      <c r="E18" s="175"/>
      <c r="F18" s="175"/>
      <c r="G18" s="175"/>
      <c r="H18" s="175"/>
      <c r="I18" s="175"/>
      <c r="J18" s="175"/>
      <c r="K18" s="175"/>
      <c r="L18" s="175"/>
      <c r="M18" s="175"/>
      <c r="N18" s="175"/>
      <c r="O18" s="175"/>
      <c r="P18" s="175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</row>
    <row r="19" spans="1:31" ht="15" customHeight="1">
      <c r="A19" s="322" t="s">
        <v>1248</v>
      </c>
      <c r="B19" s="323">
        <v>42156</v>
      </c>
      <c r="C19" s="175">
        <f>-267.84+239.7-89.28+79.9-89.28+79.9-85.59+77</f>
        <v>-55.489999999999981</v>
      </c>
      <c r="D19" s="175"/>
      <c r="E19" s="175"/>
      <c r="F19" s="175"/>
      <c r="G19" s="175"/>
      <c r="H19" s="175"/>
      <c r="I19" s="175"/>
      <c r="J19" s="175"/>
      <c r="K19" s="175"/>
      <c r="L19" s="175"/>
      <c r="M19" s="175"/>
      <c r="N19" s="175"/>
      <c r="O19" s="175"/>
      <c r="P19" s="175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</row>
    <row r="20" spans="1:31" ht="15" customHeight="1">
      <c r="A20" s="322" t="s">
        <v>1250</v>
      </c>
      <c r="B20" s="323">
        <v>42156</v>
      </c>
      <c r="C20" s="175">
        <f>-45.94-80.49-20.9-103+79.63+5.58+46.35+33.24+45.94+45.5+58.8+27.03+1.3+80.49+104.35+159.25+103+22.75+22.5+117.2+82.4+63.84+95.77+12.58</f>
        <v>957.17000000000007</v>
      </c>
      <c r="D20" s="175"/>
      <c r="E20" s="175"/>
      <c r="F20" s="175"/>
      <c r="G20" s="175"/>
      <c r="H20" s="175"/>
      <c r="I20" s="175"/>
      <c r="J20" s="175"/>
      <c r="K20" s="175"/>
      <c r="L20" s="175"/>
      <c r="M20" s="175">
        <f>0.04*180</f>
        <v>7.2</v>
      </c>
      <c r="N20" s="175"/>
      <c r="O20" s="175"/>
      <c r="P20" s="175">
        <f>17.16</f>
        <v>17.16</v>
      </c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</row>
    <row r="21" spans="1:31" ht="15" customHeight="1">
      <c r="A21" s="322" t="s">
        <v>1248</v>
      </c>
      <c r="B21" s="323">
        <v>42156</v>
      </c>
      <c r="C21" s="175">
        <f>78+45.9+69+57.96+57.42+45.36+8.28+29.4+54.06+16.25</f>
        <v>461.63</v>
      </c>
      <c r="D21" s="175"/>
      <c r="E21" s="175"/>
      <c r="F21" s="175"/>
      <c r="G21" s="175"/>
      <c r="H21" s="175"/>
      <c r="I21" s="175"/>
      <c r="J21" s="175"/>
      <c r="K21" s="175"/>
      <c r="L21" s="175"/>
      <c r="M21" s="175"/>
      <c r="N21" s="175"/>
      <c r="O21" s="175"/>
      <c r="P21" s="175"/>
      <c r="Q21" s="9"/>
      <c r="R21" s="9"/>
      <c r="S21" s="9"/>
      <c r="T21" s="9"/>
      <c r="U21" s="9"/>
      <c r="V21" s="9"/>
      <c r="W21" s="178"/>
      <c r="X21" s="9"/>
      <c r="Y21" s="9"/>
      <c r="Z21" s="9"/>
      <c r="AA21" s="9"/>
      <c r="AB21" s="9"/>
      <c r="AC21" s="9"/>
      <c r="AD21" s="9"/>
      <c r="AE21" s="9"/>
    </row>
    <row r="22" spans="1:31" ht="15" customHeight="1">
      <c r="A22" s="322" t="s">
        <v>1297</v>
      </c>
      <c r="B22" s="323">
        <v>42156</v>
      </c>
      <c r="C22" s="175">
        <f>47.9+12.72</f>
        <v>60.62</v>
      </c>
      <c r="D22" s="175"/>
      <c r="E22" s="175"/>
      <c r="F22" s="175"/>
      <c r="G22" s="175"/>
      <c r="H22" s="175"/>
      <c r="I22" s="175"/>
      <c r="J22" s="175"/>
      <c r="K22" s="175">
        <v>90.72</v>
      </c>
      <c r="L22" s="175"/>
      <c r="M22" s="175">
        <f>1.5*40</f>
        <v>60</v>
      </c>
      <c r="N22" s="175"/>
      <c r="O22" s="175"/>
      <c r="P22" s="175"/>
      <c r="Q22" s="9"/>
      <c r="R22" s="9"/>
      <c r="S22" s="9"/>
      <c r="T22" s="9"/>
      <c r="U22" s="9"/>
      <c r="V22" s="9"/>
      <c r="W22" s="178"/>
      <c r="X22" s="9"/>
      <c r="Y22" s="9"/>
      <c r="Z22" s="9"/>
      <c r="AA22" s="9"/>
      <c r="AB22" s="9"/>
      <c r="AC22" s="9"/>
      <c r="AD22" s="9"/>
      <c r="AE22" s="9"/>
    </row>
    <row r="23" spans="1:31" ht="15" customHeight="1">
      <c r="A23" s="322" t="s">
        <v>1297</v>
      </c>
      <c r="B23" s="323">
        <v>42186</v>
      </c>
      <c r="C23" s="175">
        <f>24.99+6.47+3.06+19.87+13.63+68.68</f>
        <v>136.69999999999999</v>
      </c>
      <c r="D23" s="175"/>
      <c r="E23" s="175"/>
      <c r="F23" s="175"/>
      <c r="G23" s="175"/>
      <c r="H23" s="175"/>
      <c r="I23" s="175"/>
      <c r="J23" s="175"/>
      <c r="K23" s="175">
        <v>83.32</v>
      </c>
      <c r="L23" s="175"/>
      <c r="M23" s="175">
        <f>1.2*40</f>
        <v>48</v>
      </c>
      <c r="N23" s="175"/>
      <c r="O23" s="175"/>
      <c r="P23" s="175"/>
      <c r="Q23" s="9"/>
      <c r="R23" s="9"/>
      <c r="S23" s="9"/>
      <c r="T23" s="9"/>
      <c r="U23" s="9"/>
      <c r="V23" s="9"/>
      <c r="W23" s="178"/>
      <c r="X23" s="9"/>
      <c r="Y23" s="9"/>
      <c r="Z23" s="9"/>
      <c r="AA23" s="9"/>
      <c r="AB23" s="9"/>
      <c r="AC23" s="9"/>
      <c r="AD23" s="9"/>
      <c r="AE23" s="9"/>
    </row>
    <row r="24" spans="1:31" ht="15" customHeight="1">
      <c r="A24" s="325" t="s">
        <v>1250</v>
      </c>
      <c r="B24" s="323">
        <v>42186</v>
      </c>
      <c r="C24" s="175">
        <f>-104.35+79.95-159.25+131.25-22.75+18.75-79.63+65.63+607.5+54.06+29.4+118.56+362.07+54.06+37.26+40.5+14.7+34.97+9.69+13.35+55.24+15.61+27.03+17.28+74.52+40.5+37.5+13.25+20.37+5.13+19.56+40.1+40.1</f>
        <v>1711.9099999999996</v>
      </c>
      <c r="D24" s="175"/>
      <c r="E24" s="175">
        <f>814.3+858.74+528.59+286.28</f>
        <v>2487.91</v>
      </c>
      <c r="F24" s="175"/>
      <c r="G24" s="175"/>
      <c r="H24" s="175"/>
      <c r="I24" s="175">
        <f>127.2+11.16</f>
        <v>138.36000000000001</v>
      </c>
      <c r="J24" s="175"/>
      <c r="K24" s="175"/>
      <c r="L24" s="175"/>
      <c r="M24" s="175"/>
      <c r="N24" s="175"/>
      <c r="O24" s="175"/>
      <c r="P24" s="175"/>
      <c r="Q24" s="9"/>
      <c r="R24" s="9"/>
      <c r="S24" s="9"/>
      <c r="T24" s="9"/>
      <c r="U24" s="9"/>
      <c r="V24" s="9"/>
      <c r="W24" s="178"/>
      <c r="X24" s="9"/>
      <c r="Y24" s="9"/>
      <c r="Z24" s="9"/>
      <c r="AA24" s="9"/>
      <c r="AB24" s="9"/>
      <c r="AC24" s="9"/>
      <c r="AD24" s="9"/>
      <c r="AE24" s="9"/>
    </row>
    <row r="25" spans="1:31" ht="15" customHeight="1">
      <c r="A25" s="325" t="s">
        <v>1248</v>
      </c>
      <c r="B25" s="323">
        <v>42186</v>
      </c>
      <c r="C25" s="175">
        <f>71.76+42.4+15.3+86.11+5.34+15.38</f>
        <v>236.29</v>
      </c>
      <c r="D25" s="175"/>
      <c r="E25" s="175"/>
      <c r="F25" s="175"/>
      <c r="G25" s="175"/>
      <c r="H25" s="175"/>
      <c r="I25" s="175"/>
      <c r="J25" s="175"/>
      <c r="K25" s="175"/>
      <c r="L25" s="175"/>
      <c r="M25" s="175"/>
      <c r="N25" s="175"/>
      <c r="O25" s="175"/>
      <c r="P25" s="175"/>
      <c r="Q25" s="9"/>
      <c r="R25" s="9"/>
      <c r="S25" s="9"/>
      <c r="T25" s="9"/>
      <c r="U25" s="9"/>
      <c r="V25" s="9"/>
      <c r="W25" s="178"/>
      <c r="X25" s="9"/>
      <c r="Y25" s="9"/>
      <c r="Z25" s="9"/>
      <c r="AA25" s="9"/>
      <c r="AB25" s="9"/>
      <c r="AC25" s="9"/>
      <c r="AD25" s="9"/>
      <c r="AE25" s="9"/>
    </row>
    <row r="26" spans="1:31" ht="15" customHeight="1">
      <c r="A26" s="325" t="s">
        <v>1250</v>
      </c>
      <c r="B26" s="323">
        <v>42217</v>
      </c>
      <c r="C26" s="175">
        <f>-19.56-27.62-17.28+12.24-16.19-31.92-98.68+60.75+74.52+8.02+8.02+16.19+34.78+56.25+41.4+684.34+19.56+342.17+69+37.5+19.87+62.52+26.49+23.71+57.41+9.69+4.84+72.9+29.4+15.3+59.62+28.7+98.68+14.9+14.9+8.74+19.5+37.5+33.12+20.7+9.69+105.63+346.93+482.69+38.34+9.69+29.4+54.12+24.86</f>
        <v>3013.3300000000004</v>
      </c>
      <c r="D26" s="175"/>
      <c r="E26" s="175"/>
      <c r="F26" s="175"/>
      <c r="G26" s="175"/>
      <c r="H26" s="175"/>
      <c r="I26" s="175"/>
      <c r="J26" s="175"/>
      <c r="K26" s="175"/>
      <c r="L26" s="175"/>
      <c r="M26" s="175">
        <f>0.2*180</f>
        <v>36</v>
      </c>
      <c r="N26" s="175">
        <f>8.17</f>
        <v>8.17</v>
      </c>
      <c r="O26" s="175"/>
      <c r="P26" s="175"/>
      <c r="Q26" s="9"/>
      <c r="R26" s="9"/>
      <c r="S26" s="9"/>
      <c r="T26" s="9"/>
      <c r="U26" s="9"/>
      <c r="V26" s="9"/>
      <c r="W26" s="178"/>
      <c r="X26" s="9"/>
      <c r="Y26" s="9"/>
      <c r="Z26" s="9"/>
      <c r="AA26" s="9"/>
      <c r="AB26" s="9"/>
      <c r="AC26" s="9"/>
      <c r="AD26" s="9"/>
      <c r="AE26" s="9"/>
    </row>
    <row r="27" spans="1:31" ht="15" customHeight="1">
      <c r="A27" s="325" t="s">
        <v>1248</v>
      </c>
      <c r="B27" s="323">
        <v>42217</v>
      </c>
      <c r="C27" s="175">
        <f>146.95+7.18+1.53+39.03+105.9+17.82+69.57+30.81+40.47+7.07+52.43+10.62+50.78</f>
        <v>580.16</v>
      </c>
      <c r="D27" s="175"/>
      <c r="E27" s="175"/>
      <c r="F27" s="175"/>
      <c r="G27" s="175"/>
      <c r="H27" s="175"/>
      <c r="I27" s="175"/>
      <c r="J27" s="175"/>
      <c r="K27" s="175"/>
      <c r="L27" s="175"/>
      <c r="M27" s="175"/>
      <c r="N27" s="175"/>
      <c r="O27" s="175"/>
      <c r="P27" s="175"/>
      <c r="Q27" s="9"/>
      <c r="R27" s="9"/>
      <c r="S27" s="9"/>
      <c r="T27" s="9"/>
      <c r="U27" s="9"/>
      <c r="V27" s="9"/>
      <c r="W27" s="178"/>
      <c r="X27" s="9"/>
      <c r="Y27" s="9"/>
      <c r="Z27" s="9"/>
      <c r="AA27" s="9"/>
      <c r="AB27" s="9"/>
      <c r="AC27" s="9"/>
      <c r="AD27" s="9"/>
      <c r="AE27" s="9"/>
    </row>
    <row r="28" spans="1:31" ht="15" customHeight="1">
      <c r="A28" s="325" t="s">
        <v>1670</v>
      </c>
      <c r="B28" s="323">
        <v>42217</v>
      </c>
      <c r="C28" s="175"/>
      <c r="D28" s="175">
        <v>-6.05</v>
      </c>
      <c r="E28" s="175"/>
      <c r="F28" s="175"/>
      <c r="G28" s="175"/>
      <c r="H28" s="175"/>
      <c r="I28" s="175"/>
      <c r="J28" s="175"/>
      <c r="K28" s="175"/>
      <c r="L28" s="175"/>
      <c r="M28" s="175"/>
      <c r="N28" s="175"/>
      <c r="O28" s="175"/>
      <c r="P28" s="175"/>
      <c r="Q28" s="9"/>
      <c r="R28" s="9"/>
      <c r="S28" s="9"/>
      <c r="T28" s="9"/>
      <c r="U28" s="9"/>
      <c r="V28" s="9"/>
      <c r="W28" s="178"/>
      <c r="X28" s="9"/>
      <c r="Y28" s="9"/>
      <c r="Z28" s="9"/>
      <c r="AA28" s="9"/>
      <c r="AB28" s="178"/>
      <c r="AC28" s="9"/>
      <c r="AD28" s="9"/>
      <c r="AE28" s="9"/>
    </row>
    <row r="29" spans="1:31" ht="15" customHeight="1">
      <c r="A29" s="325" t="s">
        <v>1250</v>
      </c>
      <c r="B29" s="323">
        <v>42248</v>
      </c>
      <c r="C29" s="175">
        <f>497.95+7.65+48.6+26.5+14.35+12.76+7.5+3.41+8.76</f>
        <v>627.4799999999999</v>
      </c>
      <c r="D29" s="175"/>
      <c r="E29" s="175"/>
      <c r="F29" s="175"/>
      <c r="G29" s="175"/>
      <c r="H29" s="175"/>
      <c r="I29" s="175"/>
      <c r="J29" s="175"/>
      <c r="K29" s="175"/>
      <c r="L29" s="175"/>
      <c r="M29" s="175"/>
      <c r="N29" s="175"/>
      <c r="O29" s="175"/>
      <c r="P29" s="175">
        <f>16.68</f>
        <v>16.68</v>
      </c>
      <c r="W29" s="178"/>
      <c r="X29" s="9"/>
      <c r="Y29" s="9"/>
      <c r="AB29" s="178"/>
      <c r="AC29" s="9"/>
      <c r="AD29" s="9"/>
    </row>
    <row r="30" spans="1:31" ht="15" customHeight="1">
      <c r="A30" s="325" t="s">
        <v>1255</v>
      </c>
      <c r="B30" s="323">
        <v>42248</v>
      </c>
      <c r="C30" s="175"/>
      <c r="D30" s="175">
        <f>24.59</f>
        <v>24.59</v>
      </c>
      <c r="E30" s="175"/>
      <c r="F30" s="175"/>
      <c r="G30" s="175"/>
      <c r="H30" s="175"/>
      <c r="I30" s="175"/>
      <c r="J30" s="175"/>
      <c r="K30" s="175"/>
      <c r="L30" s="175"/>
      <c r="M30" s="175"/>
      <c r="N30" s="175"/>
      <c r="O30" s="175"/>
      <c r="P30" s="175"/>
      <c r="W30" s="178"/>
      <c r="X30" s="9"/>
      <c r="Y30" s="9"/>
      <c r="AB30" s="178"/>
      <c r="AC30" s="9"/>
      <c r="AD30" s="9"/>
    </row>
    <row r="31" spans="1:31" ht="15" customHeight="1">
      <c r="A31" s="325" t="s">
        <v>1248</v>
      </c>
      <c r="B31" s="323">
        <v>42248</v>
      </c>
      <c r="C31" s="175">
        <f>152.1</f>
        <v>152.1</v>
      </c>
      <c r="D31" s="175"/>
      <c r="E31" s="175"/>
      <c r="F31" s="175"/>
      <c r="G31" s="175"/>
      <c r="H31" s="175"/>
      <c r="I31" s="175"/>
      <c r="J31" s="175"/>
      <c r="K31" s="175"/>
      <c r="L31" s="175"/>
      <c r="M31" s="175"/>
      <c r="N31" s="175"/>
      <c r="O31" s="175"/>
      <c r="P31" s="175"/>
      <c r="W31" s="178"/>
      <c r="X31" s="9"/>
      <c r="Y31" s="9"/>
      <c r="AB31" s="178"/>
      <c r="AC31" s="9"/>
      <c r="AD31" s="9"/>
    </row>
    <row r="32" spans="1:31" ht="15" customHeight="1">
      <c r="A32" s="325"/>
      <c r="B32" s="323"/>
      <c r="C32" s="175"/>
      <c r="D32" s="175"/>
      <c r="E32" s="175"/>
      <c r="F32" s="175"/>
      <c r="G32" s="175"/>
      <c r="H32" s="175"/>
      <c r="I32" s="175"/>
      <c r="J32" s="175"/>
      <c r="K32" s="175"/>
      <c r="L32" s="175"/>
      <c r="M32" s="175"/>
      <c r="N32" s="175"/>
      <c r="O32" s="175"/>
      <c r="P32" s="175"/>
      <c r="W32" s="178"/>
      <c r="X32" s="9"/>
      <c r="Y32" s="9"/>
      <c r="AB32" s="178"/>
      <c r="AC32" s="9"/>
      <c r="AD32" s="9"/>
    </row>
    <row r="33" spans="1:30" ht="15" customHeight="1">
      <c r="A33" s="325" t="s">
        <v>1248</v>
      </c>
      <c r="B33" s="323">
        <v>42278</v>
      </c>
      <c r="C33" s="175">
        <f>37.11+39.84</f>
        <v>76.95</v>
      </c>
      <c r="D33" s="175"/>
      <c r="E33" s="175"/>
      <c r="F33" s="175">
        <f>236.2</f>
        <v>236.2</v>
      </c>
      <c r="G33" s="175"/>
      <c r="H33" s="175"/>
      <c r="I33" s="175"/>
      <c r="J33" s="175"/>
      <c r="K33" s="175"/>
      <c r="L33" s="175"/>
      <c r="M33" s="175"/>
      <c r="N33" s="175"/>
      <c r="O33" s="175"/>
      <c r="P33" s="175"/>
      <c r="W33" s="178"/>
      <c r="X33" s="9"/>
      <c r="Y33" s="9"/>
      <c r="AB33" s="178"/>
      <c r="AC33" s="9"/>
      <c r="AD33" s="9"/>
    </row>
    <row r="34" spans="1:30" ht="15" customHeight="1">
      <c r="A34" s="325" t="s">
        <v>1252</v>
      </c>
      <c r="B34" s="323">
        <v>42278</v>
      </c>
      <c r="C34" s="175">
        <f>20.33</f>
        <v>20.329999999999998</v>
      </c>
      <c r="D34" s="175">
        <f>1.03</f>
        <v>1.03</v>
      </c>
      <c r="E34" s="175"/>
      <c r="F34" s="175"/>
      <c r="G34" s="175"/>
      <c r="H34" s="175"/>
      <c r="I34" s="175"/>
      <c r="J34" s="175"/>
      <c r="K34" s="175"/>
      <c r="L34" s="175"/>
      <c r="M34" s="175"/>
      <c r="N34" s="175"/>
      <c r="O34" s="175"/>
      <c r="P34" s="175"/>
      <c r="W34" s="9"/>
      <c r="X34" s="9"/>
      <c r="Y34" s="9"/>
      <c r="AB34" s="178"/>
      <c r="AC34" s="9"/>
      <c r="AD34" s="9"/>
    </row>
    <row r="35" spans="1:30" ht="15" customHeight="1">
      <c r="A35" s="325" t="s">
        <v>1250</v>
      </c>
      <c r="B35" s="323">
        <v>42278</v>
      </c>
      <c r="C35" s="324">
        <f>232.5+113.7+191.16+10.5+16.68</f>
        <v>564.54</v>
      </c>
      <c r="D35" s="175">
        <f>277.8+5.52+0.74</f>
        <v>284.06</v>
      </c>
      <c r="E35" s="175"/>
      <c r="F35" s="175">
        <f>49.5</f>
        <v>49.5</v>
      </c>
      <c r="G35" s="175"/>
      <c r="H35" s="175"/>
      <c r="I35" s="175"/>
      <c r="J35" s="175">
        <f>1214.06</f>
        <v>1214.06</v>
      </c>
      <c r="K35" s="175"/>
      <c r="L35" s="175"/>
      <c r="M35" s="175"/>
      <c r="N35" s="175"/>
      <c r="O35" s="175"/>
      <c r="P35" s="175"/>
      <c r="W35" s="9"/>
      <c r="X35" s="9"/>
      <c r="Y35" s="9"/>
      <c r="AB35" s="178"/>
      <c r="AC35" s="9"/>
      <c r="AD35" s="9"/>
    </row>
    <row r="36" spans="1:30" ht="15" customHeight="1">
      <c r="A36" s="325" t="s">
        <v>1250</v>
      </c>
      <c r="B36" s="323">
        <v>42309</v>
      </c>
      <c r="C36" s="175">
        <f>722.96+62.7+41.98+45.6+24.42+419.21+33.92+175.68+346.32+1.66+488.39+2.5+262.45+0.83+19.45+3.89+28.22+0.26+28.7-165.98</f>
        <v>2543.1599999999994</v>
      </c>
      <c r="D36" s="175">
        <f>44.55+40.5+11.11</f>
        <v>96.16</v>
      </c>
      <c r="E36" s="175"/>
      <c r="F36" s="175"/>
      <c r="G36" s="175"/>
      <c r="H36" s="175"/>
      <c r="I36" s="175"/>
      <c r="J36" s="175"/>
      <c r="K36" s="175"/>
      <c r="L36" s="175"/>
      <c r="M36" s="175"/>
      <c r="N36" s="175"/>
      <c r="O36" s="175"/>
      <c r="P36" s="175">
        <f>90.71</f>
        <v>90.71</v>
      </c>
      <c r="W36" s="9"/>
      <c r="X36" s="9"/>
      <c r="Y36" s="9"/>
      <c r="AB36" s="9"/>
      <c r="AC36" s="9"/>
      <c r="AD36" s="9"/>
    </row>
    <row r="37" spans="1:30" ht="15" customHeight="1">
      <c r="A37" s="325" t="s">
        <v>1248</v>
      </c>
      <c r="B37" s="323">
        <v>42309</v>
      </c>
      <c r="C37" s="175">
        <f>1563.44+380.16+58.31</f>
        <v>2001.91</v>
      </c>
      <c r="D37" s="175"/>
      <c r="E37" s="175"/>
      <c r="F37" s="175">
        <f>-33.77</f>
        <v>-33.770000000000003</v>
      </c>
      <c r="G37" s="175"/>
      <c r="H37" s="175"/>
      <c r="I37" s="175"/>
      <c r="J37" s="175"/>
      <c r="K37" s="175"/>
      <c r="L37" s="175"/>
      <c r="M37" s="175"/>
      <c r="N37" s="175"/>
      <c r="O37" s="175"/>
      <c r="P37" s="175"/>
      <c r="Q37" s="534"/>
      <c r="R37" s="535"/>
      <c r="S37" s="535"/>
      <c r="T37" s="535"/>
      <c r="U37" s="535"/>
      <c r="V37" s="535"/>
      <c r="W37" s="9"/>
      <c r="X37" s="9"/>
      <c r="Y37" s="9"/>
      <c r="AB37" s="9"/>
      <c r="AC37" s="9"/>
      <c r="AD37" s="9"/>
    </row>
    <row r="38" spans="1:30" ht="15" customHeight="1">
      <c r="A38" s="325"/>
      <c r="B38" s="323"/>
      <c r="C38" s="175"/>
      <c r="D38" s="175"/>
      <c r="E38" s="175"/>
      <c r="F38" s="175"/>
      <c r="G38" s="175"/>
      <c r="H38" s="175"/>
      <c r="I38" s="175"/>
      <c r="J38" s="175"/>
      <c r="K38" s="175"/>
      <c r="L38" s="175"/>
      <c r="M38" s="175"/>
      <c r="N38" s="175"/>
      <c r="O38" s="175"/>
      <c r="P38" s="175"/>
      <c r="Q38" s="534"/>
      <c r="R38" s="535"/>
      <c r="S38" s="535"/>
      <c r="T38" s="535"/>
      <c r="U38" s="535"/>
      <c r="V38" s="535"/>
      <c r="AB38" s="9"/>
      <c r="AC38" s="9"/>
      <c r="AD38" s="9"/>
    </row>
    <row r="39" spans="1:30" ht="15" customHeight="1">
      <c r="A39" s="325" t="s">
        <v>1250</v>
      </c>
      <c r="B39" s="323">
        <v>42339</v>
      </c>
      <c r="C39" s="175">
        <f>5.22+22.68+0.26+16.72+0.13+16.72+0.13+22.68+0.26+6.75+10.17+3.89+4.77</f>
        <v>110.38</v>
      </c>
      <c r="D39" s="175">
        <f>0.89+1.15+5.19+5.19+4.36</f>
        <v>16.78</v>
      </c>
      <c r="E39" s="175"/>
      <c r="F39" s="175"/>
      <c r="G39" s="175"/>
      <c r="H39" s="175"/>
      <c r="I39" s="175"/>
      <c r="J39" s="175"/>
      <c r="K39" s="175"/>
      <c r="L39" s="175"/>
      <c r="M39" s="175"/>
      <c r="N39" s="175"/>
      <c r="O39" s="175"/>
      <c r="P39" s="175"/>
      <c r="Q39" s="534"/>
      <c r="R39" s="535"/>
      <c r="S39" s="535"/>
      <c r="T39" s="535"/>
      <c r="U39" s="535"/>
      <c r="V39" s="535"/>
      <c r="AB39" s="9"/>
      <c r="AC39" s="9"/>
      <c r="AD39" s="9"/>
    </row>
    <row r="40" spans="1:30" ht="15" customHeight="1">
      <c r="A40" s="325"/>
      <c r="B40" s="323"/>
      <c r="C40" s="175"/>
      <c r="D40" s="175"/>
      <c r="E40" s="175"/>
      <c r="F40" s="175"/>
      <c r="G40" s="175"/>
      <c r="H40" s="175"/>
      <c r="I40" s="175"/>
      <c r="J40" s="175"/>
      <c r="K40" s="175"/>
      <c r="L40" s="175"/>
      <c r="M40" s="175"/>
      <c r="N40" s="175"/>
      <c r="O40" s="175"/>
      <c r="P40" s="175"/>
      <c r="Q40" s="534"/>
      <c r="R40" s="535"/>
      <c r="S40" s="535"/>
      <c r="T40" s="535"/>
      <c r="U40" s="535"/>
      <c r="V40" s="535"/>
      <c r="AB40" s="9"/>
      <c r="AC40" s="9"/>
      <c r="AD40" s="9"/>
    </row>
    <row r="41" spans="1:30" ht="15" customHeight="1">
      <c r="A41" s="325" t="s">
        <v>1255</v>
      </c>
      <c r="B41" s="323">
        <v>42339</v>
      </c>
      <c r="C41" s="175">
        <v>19.920000000000002</v>
      </c>
      <c r="D41" s="175"/>
      <c r="E41" s="175"/>
      <c r="F41" s="175"/>
      <c r="G41" s="175"/>
      <c r="H41" s="175"/>
      <c r="I41" s="175"/>
      <c r="J41" s="175"/>
      <c r="K41" s="175"/>
      <c r="L41" s="175"/>
      <c r="M41" s="175"/>
      <c r="N41" s="175"/>
      <c r="O41" s="175"/>
      <c r="P41" s="175"/>
      <c r="Q41" s="534"/>
      <c r="R41" s="535"/>
      <c r="S41" s="535"/>
      <c r="T41" s="535"/>
      <c r="U41" s="535"/>
      <c r="V41" s="535"/>
      <c r="AB41" s="9"/>
      <c r="AC41" s="9"/>
      <c r="AD41" s="9"/>
    </row>
    <row r="42" spans="1:30" ht="15" customHeight="1">
      <c r="A42" s="325" t="s">
        <v>1248</v>
      </c>
      <c r="B42" s="323">
        <v>42339</v>
      </c>
      <c r="C42" s="175"/>
      <c r="D42" s="175">
        <f>7.98</f>
        <v>7.98</v>
      </c>
      <c r="E42" s="175"/>
      <c r="F42" s="175"/>
      <c r="G42" s="175"/>
      <c r="H42" s="175"/>
      <c r="I42" s="175"/>
      <c r="J42" s="175"/>
      <c r="K42" s="175"/>
      <c r="L42" s="175"/>
      <c r="M42" s="175"/>
      <c r="N42" s="175"/>
      <c r="O42" s="175"/>
      <c r="P42" s="175"/>
      <c r="Q42" s="534"/>
      <c r="R42" s="535"/>
      <c r="S42" s="535"/>
      <c r="T42" s="535"/>
      <c r="U42" s="535"/>
      <c r="V42" s="535"/>
      <c r="AB42" s="9"/>
      <c r="AC42" s="9"/>
      <c r="AD42" s="9"/>
    </row>
    <row r="43" spans="1:30" ht="15" customHeight="1">
      <c r="A43" s="325" t="s">
        <v>1248</v>
      </c>
      <c r="B43" s="323">
        <v>42370</v>
      </c>
      <c r="C43" s="324">
        <f>11.17+134.58</f>
        <v>145.75</v>
      </c>
      <c r="D43" s="175"/>
      <c r="E43" s="175"/>
      <c r="F43" s="175"/>
      <c r="G43" s="175"/>
      <c r="H43" s="175"/>
      <c r="I43" s="175"/>
      <c r="J43" s="175"/>
      <c r="K43" s="175"/>
      <c r="L43" s="326">
        <f>631.55</f>
        <v>631.54999999999995</v>
      </c>
      <c r="M43" s="175"/>
      <c r="N43" s="175"/>
      <c r="O43" s="175"/>
      <c r="P43" s="175"/>
      <c r="Q43" s="534"/>
      <c r="R43" s="535"/>
      <c r="S43" s="535"/>
      <c r="T43" s="535"/>
      <c r="U43" s="535"/>
      <c r="V43" s="535"/>
      <c r="AB43" s="9"/>
      <c r="AC43" s="9"/>
      <c r="AD43" s="9"/>
    </row>
    <row r="44" spans="1:30" ht="15" customHeight="1">
      <c r="A44" s="325" t="s">
        <v>1250</v>
      </c>
      <c r="B44" s="323">
        <v>42370</v>
      </c>
      <c r="C44" s="175"/>
      <c r="D44" s="175">
        <v>-1.1499999999999999</v>
      </c>
      <c r="E44" s="175"/>
      <c r="F44" s="175"/>
      <c r="G44" s="175"/>
      <c r="H44" s="175"/>
      <c r="I44" s="175"/>
      <c r="J44" s="175"/>
      <c r="K44" s="175"/>
      <c r="L44" s="175"/>
      <c r="M44" s="175"/>
      <c r="N44" s="175"/>
      <c r="O44" s="175"/>
      <c r="P44" s="175"/>
      <c r="Q44" s="534"/>
      <c r="R44" s="535"/>
      <c r="S44" s="535"/>
      <c r="T44" s="535"/>
      <c r="U44" s="535"/>
      <c r="V44" s="535"/>
      <c r="AB44" s="9"/>
      <c r="AC44" s="9"/>
      <c r="AD44" s="9"/>
    </row>
    <row r="45" spans="1:30" ht="15" customHeight="1">
      <c r="A45" s="325" t="s">
        <v>1670</v>
      </c>
      <c r="B45" s="323">
        <v>42370</v>
      </c>
      <c r="C45" s="175"/>
      <c r="D45" s="175">
        <f>7.56</f>
        <v>7.56</v>
      </c>
      <c r="E45" s="175"/>
      <c r="F45" s="175"/>
      <c r="G45" s="175"/>
      <c r="H45" s="175"/>
      <c r="I45" s="175"/>
      <c r="J45" s="175"/>
      <c r="K45" s="175"/>
      <c r="L45" s="175"/>
      <c r="M45" s="175"/>
      <c r="N45" s="175"/>
      <c r="O45" s="175"/>
      <c r="P45" s="175"/>
      <c r="Q45" s="534"/>
      <c r="R45" s="535"/>
      <c r="S45" s="535"/>
      <c r="T45" s="535"/>
      <c r="U45" s="535"/>
      <c r="V45" s="535"/>
    </row>
    <row r="46" spans="1:30" ht="15" customHeight="1">
      <c r="A46" s="325" t="s">
        <v>1255</v>
      </c>
      <c r="B46" s="323">
        <v>42370</v>
      </c>
      <c r="C46" s="175"/>
      <c r="D46" s="175">
        <f>4+2.22+2.28</f>
        <v>8.5</v>
      </c>
      <c r="E46" s="175"/>
      <c r="F46" s="175"/>
      <c r="G46" s="175"/>
      <c r="H46" s="175"/>
      <c r="I46" s="175"/>
      <c r="J46" s="175"/>
      <c r="K46" s="175"/>
      <c r="L46" s="175"/>
      <c r="M46" s="175"/>
      <c r="N46" s="175"/>
      <c r="O46" s="175"/>
      <c r="P46" s="175"/>
      <c r="Q46" s="534"/>
      <c r="R46" s="535"/>
      <c r="S46" s="535"/>
      <c r="T46" s="535"/>
      <c r="U46" s="535"/>
      <c r="V46" s="535"/>
    </row>
    <row r="47" spans="1:30" ht="15" customHeight="1">
      <c r="A47" s="325" t="s">
        <v>1543</v>
      </c>
      <c r="B47" s="323">
        <v>42370</v>
      </c>
      <c r="C47" s="175"/>
      <c r="D47" s="175"/>
      <c r="E47" s="175"/>
      <c r="F47" s="175">
        <f>102.94+90.63+5.94</f>
        <v>199.51</v>
      </c>
      <c r="G47" s="175"/>
      <c r="H47" s="175"/>
      <c r="I47" s="175"/>
      <c r="J47" s="175"/>
      <c r="K47" s="175"/>
      <c r="L47" s="175"/>
      <c r="M47" s="175"/>
      <c r="N47" s="175"/>
      <c r="O47" s="175"/>
      <c r="P47" s="175"/>
      <c r="Q47" s="534"/>
      <c r="R47" s="535"/>
      <c r="S47" s="535"/>
      <c r="T47" s="535"/>
      <c r="U47" s="535"/>
      <c r="V47" s="535"/>
    </row>
    <row r="48" spans="1:30" ht="15" customHeight="1">
      <c r="A48" s="325" t="s">
        <v>1543</v>
      </c>
      <c r="B48" s="323">
        <v>42401</v>
      </c>
      <c r="C48" s="175">
        <f>73.26</f>
        <v>73.260000000000005</v>
      </c>
      <c r="D48" s="175"/>
      <c r="E48" s="175"/>
      <c r="F48" s="175">
        <f>205.88+135.94+297+27.82+51.6</f>
        <v>718.24</v>
      </c>
      <c r="G48" s="175"/>
      <c r="H48" s="175"/>
      <c r="I48" s="175"/>
      <c r="J48" s="175"/>
      <c r="K48" s="175"/>
      <c r="L48" s="175"/>
      <c r="M48" s="175"/>
      <c r="N48" s="175"/>
      <c r="O48" s="175"/>
      <c r="P48" s="175"/>
      <c r="Q48" s="534"/>
      <c r="R48" s="535"/>
      <c r="S48" s="535"/>
      <c r="T48" s="535"/>
      <c r="U48" s="535"/>
      <c r="V48" s="535"/>
    </row>
    <row r="49" spans="1:22" ht="15" customHeight="1">
      <c r="A49" s="325" t="s">
        <v>1297</v>
      </c>
      <c r="B49" s="323">
        <v>42401</v>
      </c>
      <c r="C49" s="175">
        <f>38.64+9.82+8.76</f>
        <v>57.22</v>
      </c>
      <c r="D49" s="175"/>
      <c r="E49" s="175"/>
      <c r="F49" s="175"/>
      <c r="G49" s="175"/>
      <c r="H49" s="175"/>
      <c r="I49" s="175"/>
      <c r="J49" s="175">
        <f>94.88</f>
        <v>94.88</v>
      </c>
      <c r="K49" s="175"/>
      <c r="L49" s="175"/>
      <c r="M49" s="175"/>
      <c r="N49" s="175"/>
      <c r="O49" s="175">
        <f>5775.2</f>
        <v>5775.2</v>
      </c>
      <c r="P49" s="175"/>
      <c r="Q49" s="534"/>
      <c r="R49" s="535"/>
      <c r="S49" s="535"/>
      <c r="T49" s="535"/>
      <c r="U49" s="535"/>
      <c r="V49" s="535"/>
    </row>
    <row r="50" spans="1:22" ht="15" customHeight="1">
      <c r="A50" s="325" t="s">
        <v>1498</v>
      </c>
      <c r="B50" s="323">
        <v>42401</v>
      </c>
      <c r="C50" s="175"/>
      <c r="D50" s="175">
        <f>14.33</f>
        <v>14.33</v>
      </c>
      <c r="E50" s="175"/>
      <c r="F50" s="175"/>
      <c r="G50" s="175"/>
      <c r="H50" s="175"/>
      <c r="I50" s="175"/>
      <c r="J50" s="175"/>
      <c r="K50" s="175"/>
      <c r="L50" s="175"/>
      <c r="M50" s="175"/>
      <c r="N50" s="175"/>
      <c r="O50" s="175"/>
      <c r="P50" s="175"/>
      <c r="Q50" s="534"/>
      <c r="R50" s="535"/>
      <c r="S50" s="535"/>
      <c r="T50" s="535"/>
      <c r="U50" s="535"/>
      <c r="V50" s="535"/>
    </row>
    <row r="51" spans="1:22" ht="15" customHeight="1">
      <c r="A51" s="325" t="s">
        <v>1250</v>
      </c>
      <c r="B51" s="323">
        <v>42401</v>
      </c>
      <c r="C51" s="175"/>
      <c r="D51" s="175">
        <f>-10.38</f>
        <v>-10.38</v>
      </c>
      <c r="E51" s="175"/>
      <c r="F51" s="175"/>
      <c r="G51" s="175"/>
      <c r="H51" s="175"/>
      <c r="I51" s="175"/>
      <c r="J51" s="175"/>
      <c r="K51" s="175"/>
      <c r="L51" s="175"/>
      <c r="M51" s="175"/>
      <c r="N51" s="175"/>
      <c r="O51" s="175"/>
      <c r="P51" s="175"/>
      <c r="Q51" s="534"/>
      <c r="R51" s="535"/>
      <c r="S51" s="535"/>
      <c r="T51" s="535"/>
      <c r="U51" s="535"/>
      <c r="V51" s="535"/>
    </row>
    <row r="52" spans="1:22" ht="15" customHeight="1">
      <c r="A52" s="325" t="s">
        <v>1297</v>
      </c>
      <c r="B52" s="323">
        <v>42430</v>
      </c>
      <c r="C52" s="175">
        <f>13.14+6.9</f>
        <v>20.04</v>
      </c>
      <c r="D52" s="175"/>
      <c r="E52" s="175"/>
      <c r="F52" s="175"/>
      <c r="G52" s="175"/>
      <c r="H52" s="175"/>
      <c r="I52" s="175"/>
      <c r="J52" s="175"/>
      <c r="K52" s="175"/>
      <c r="L52" s="175"/>
      <c r="M52" s="175"/>
      <c r="N52" s="175"/>
      <c r="O52" s="175"/>
      <c r="P52" s="175"/>
      <c r="Q52" s="534"/>
      <c r="R52" s="535"/>
      <c r="S52" s="535"/>
      <c r="T52" s="535"/>
      <c r="U52" s="535"/>
      <c r="V52" s="535"/>
    </row>
    <row r="53" spans="1:22" ht="15" customHeight="1">
      <c r="A53" s="325" t="s">
        <v>1248</v>
      </c>
      <c r="B53" s="323">
        <v>42430</v>
      </c>
      <c r="C53" s="175"/>
      <c r="D53" s="175"/>
      <c r="E53" s="175"/>
      <c r="F53" s="175"/>
      <c r="G53" s="175"/>
      <c r="H53" s="175"/>
      <c r="I53" s="175"/>
      <c r="J53" s="175"/>
      <c r="K53" s="175"/>
      <c r="L53" s="326">
        <f>-631.55+445.8</f>
        <v>-185.74999999999994</v>
      </c>
      <c r="M53" s="175"/>
      <c r="N53" s="175"/>
      <c r="O53" s="175"/>
      <c r="P53" s="175"/>
      <c r="Q53" s="534"/>
      <c r="R53" s="535"/>
      <c r="S53" s="535"/>
      <c r="T53" s="535"/>
      <c r="U53" s="535"/>
      <c r="V53" s="535"/>
    </row>
    <row r="54" spans="1:22" ht="15" customHeight="1">
      <c r="A54" s="325" t="s">
        <v>1556</v>
      </c>
      <c r="B54" s="323">
        <v>42430</v>
      </c>
      <c r="C54" s="175"/>
      <c r="D54" s="175">
        <f>0.7+3.04+9.55+77.31+8.12+7.23+12.88+1.71+1.02+47.25+0.71+0.71+2.86+3.32+5.37+20.58+11.48+38.84+14.14+6.74+13.46</f>
        <v>287.02</v>
      </c>
      <c r="E54" s="175"/>
      <c r="F54" s="175"/>
      <c r="G54" s="175">
        <f>-77.2-269.51-21.01+31.41+15.55+77.2+21.01+77.2+21.01+45.6+413.35+269.51+21.01</f>
        <v>625.13000000000011</v>
      </c>
      <c r="H54" s="175"/>
      <c r="I54" s="175"/>
      <c r="J54" s="175"/>
      <c r="K54" s="175"/>
      <c r="L54" s="175"/>
      <c r="M54" s="175"/>
      <c r="N54" s="175"/>
      <c r="O54" s="175"/>
      <c r="P54" s="175"/>
      <c r="Q54" s="534"/>
      <c r="R54" s="535"/>
      <c r="S54" s="535"/>
      <c r="T54" s="535"/>
      <c r="U54" s="535"/>
      <c r="V54" s="535"/>
    </row>
    <row r="55" spans="1:22" ht="15" customHeight="1">
      <c r="A55" s="325" t="s">
        <v>1250</v>
      </c>
      <c r="B55" s="323">
        <v>42430</v>
      </c>
      <c r="C55" s="175"/>
      <c r="D55" s="175"/>
      <c r="E55" s="175"/>
      <c r="F55" s="175"/>
      <c r="G55" s="175">
        <f>179.57+136.54+28.3+49.68+21.01</f>
        <v>415.1</v>
      </c>
      <c r="H55" s="175"/>
      <c r="I55" s="175"/>
      <c r="J55" s="175"/>
      <c r="K55" s="175"/>
      <c r="L55" s="175"/>
      <c r="M55" s="175"/>
      <c r="N55" s="175"/>
      <c r="O55" s="175"/>
      <c r="P55" s="175"/>
      <c r="Q55" s="534"/>
      <c r="R55" s="535"/>
      <c r="S55" s="535"/>
      <c r="T55" s="535"/>
      <c r="U55" s="535"/>
      <c r="V55" s="535"/>
    </row>
    <row r="56" spans="1:22" ht="15" customHeight="1">
      <c r="A56" s="325"/>
      <c r="B56" s="323"/>
      <c r="C56" s="175"/>
      <c r="D56" s="175"/>
      <c r="E56" s="175"/>
      <c r="F56" s="175"/>
      <c r="G56" s="175"/>
      <c r="H56" s="175"/>
      <c r="I56" s="175"/>
      <c r="J56" s="175"/>
      <c r="K56" s="175"/>
      <c r="L56" s="175"/>
      <c r="M56" s="175"/>
      <c r="N56" s="175"/>
      <c r="O56" s="175"/>
      <c r="P56" s="175"/>
      <c r="Q56" s="534"/>
      <c r="R56" s="535"/>
      <c r="S56" s="535"/>
      <c r="T56" s="535"/>
      <c r="U56" s="535"/>
      <c r="V56" s="535"/>
    </row>
    <row r="57" spans="1:22" ht="15" customHeight="1">
      <c r="A57" s="325" t="s">
        <v>1676</v>
      </c>
      <c r="B57" s="323">
        <v>42461</v>
      </c>
      <c r="C57" s="175"/>
      <c r="D57" s="175"/>
      <c r="E57" s="175">
        <f>665.6</f>
        <v>665.6</v>
      </c>
      <c r="F57" s="175"/>
      <c r="G57" s="175"/>
      <c r="H57" s="175"/>
      <c r="I57" s="175"/>
      <c r="J57" s="175"/>
      <c r="K57" s="175"/>
      <c r="L57" s="175"/>
      <c r="M57" s="175"/>
      <c r="N57" s="175"/>
      <c r="O57" s="175"/>
      <c r="P57" s="175"/>
      <c r="Q57" s="534"/>
      <c r="R57" s="535"/>
      <c r="S57" s="535"/>
      <c r="T57" s="535"/>
      <c r="U57" s="535"/>
      <c r="V57" s="535"/>
    </row>
    <row r="58" spans="1:22" ht="15" customHeight="1">
      <c r="A58" s="325" t="s">
        <v>1250</v>
      </c>
      <c r="B58" s="323">
        <v>42461</v>
      </c>
      <c r="C58" s="175">
        <f>6.5+44.55</f>
        <v>51.05</v>
      </c>
      <c r="D58" s="175">
        <f>30.45+14.06+9.77+5.62+20.21+38.42+60.64+53.75+25.3+54.6</f>
        <v>312.82000000000005</v>
      </c>
      <c r="E58" s="175"/>
      <c r="F58" s="175"/>
      <c r="G58" s="175">
        <f>27.31+21.01+27.31+21.01</f>
        <v>96.64</v>
      </c>
      <c r="H58" s="175"/>
      <c r="I58" s="175"/>
      <c r="J58" s="175"/>
      <c r="K58" s="175"/>
      <c r="L58" s="175"/>
      <c r="M58" s="175"/>
      <c r="N58" s="175"/>
      <c r="O58" s="175"/>
      <c r="P58" s="175">
        <f>20.41</f>
        <v>20.41</v>
      </c>
      <c r="Q58" s="534"/>
      <c r="R58" s="535"/>
      <c r="S58" s="535"/>
      <c r="T58" s="535"/>
      <c r="U58" s="535"/>
      <c r="V58" s="535"/>
    </row>
    <row r="59" spans="1:22" ht="15" customHeight="1">
      <c r="A59" s="325"/>
      <c r="B59" s="323"/>
      <c r="C59" s="175"/>
      <c r="D59" s="175"/>
      <c r="E59" s="175"/>
      <c r="F59" s="175"/>
      <c r="G59" s="175"/>
      <c r="H59" s="175"/>
      <c r="I59" s="175"/>
      <c r="J59" s="175"/>
      <c r="K59" s="175"/>
      <c r="L59" s="175"/>
      <c r="M59" s="175"/>
      <c r="N59" s="175"/>
      <c r="O59" s="175"/>
      <c r="P59" s="175"/>
      <c r="Q59" s="534"/>
      <c r="R59" s="535"/>
      <c r="S59" s="535"/>
      <c r="T59" s="535"/>
      <c r="U59" s="535"/>
      <c r="V59" s="535"/>
    </row>
    <row r="60" spans="1:22" ht="15" customHeight="1">
      <c r="A60" s="325" t="s">
        <v>1299</v>
      </c>
      <c r="B60" s="323">
        <v>42491</v>
      </c>
      <c r="C60" s="175">
        <f>51.66</f>
        <v>51.66</v>
      </c>
      <c r="D60" s="175"/>
      <c r="E60" s="175"/>
      <c r="F60" s="175"/>
      <c r="G60" s="175">
        <f>309.05+94.68+21.01+105.6+14.4+44.15</f>
        <v>588.89</v>
      </c>
      <c r="H60" s="175"/>
      <c r="I60" s="175"/>
      <c r="J60" s="175"/>
      <c r="K60" s="175"/>
      <c r="L60" s="175"/>
      <c r="M60" s="175"/>
      <c r="N60" s="175"/>
      <c r="O60" s="175"/>
      <c r="P60" s="175"/>
      <c r="Q60" s="534"/>
      <c r="R60" s="535"/>
      <c r="S60" s="535"/>
      <c r="T60" s="535"/>
      <c r="U60" s="535"/>
      <c r="V60" s="535"/>
    </row>
    <row r="61" spans="1:22" ht="15" customHeight="1">
      <c r="A61" s="325"/>
      <c r="B61" s="323"/>
      <c r="C61" s="175"/>
      <c r="D61" s="175"/>
      <c r="E61" s="175"/>
      <c r="F61" s="175"/>
      <c r="G61" s="175"/>
      <c r="H61" s="175"/>
      <c r="I61" s="175"/>
      <c r="J61" s="175"/>
      <c r="K61" s="175"/>
      <c r="L61" s="175"/>
      <c r="M61" s="175"/>
      <c r="N61" s="175"/>
      <c r="O61" s="175"/>
      <c r="P61" s="175"/>
      <c r="Q61" s="534"/>
      <c r="R61" s="535"/>
      <c r="S61" s="535"/>
      <c r="T61" s="535"/>
      <c r="U61" s="535"/>
      <c r="V61" s="535"/>
    </row>
    <row r="62" spans="1:22" ht="15" customHeight="1">
      <c r="A62" s="325" t="s">
        <v>1248</v>
      </c>
      <c r="B62" s="323">
        <v>42522</v>
      </c>
      <c r="C62" s="175"/>
      <c r="D62" s="175"/>
      <c r="E62" s="175">
        <f>272.31</f>
        <v>272.31</v>
      </c>
      <c r="F62" s="175"/>
      <c r="G62" s="175"/>
      <c r="H62" s="175"/>
      <c r="I62" s="175"/>
      <c r="J62" s="175"/>
      <c r="K62" s="175"/>
      <c r="L62" s="175"/>
      <c r="M62" s="175"/>
      <c r="N62" s="175"/>
      <c r="O62" s="175"/>
      <c r="P62" s="175"/>
      <c r="Q62" s="534"/>
      <c r="R62" s="535"/>
      <c r="S62" s="535"/>
      <c r="T62" s="535"/>
      <c r="U62" s="535"/>
      <c r="V62" s="535"/>
    </row>
    <row r="63" spans="1:22" ht="15" customHeight="1">
      <c r="A63" s="325"/>
      <c r="B63" s="323"/>
      <c r="C63" s="175"/>
      <c r="D63" s="175"/>
      <c r="E63" s="175"/>
      <c r="F63" s="175"/>
      <c r="G63" s="175"/>
      <c r="H63" s="175"/>
      <c r="I63" s="175"/>
      <c r="J63" s="175"/>
      <c r="K63" s="175"/>
      <c r="L63" s="175"/>
      <c r="M63" s="175"/>
      <c r="N63" s="175"/>
      <c r="O63" s="175"/>
      <c r="P63" s="175"/>
      <c r="Q63" s="534"/>
      <c r="R63" s="535"/>
      <c r="S63" s="535"/>
      <c r="T63" s="535"/>
      <c r="U63" s="535"/>
      <c r="V63" s="535"/>
    </row>
    <row r="64" spans="1:22" ht="15" customHeight="1">
      <c r="A64" s="325" t="s">
        <v>1299</v>
      </c>
      <c r="B64" s="323">
        <v>42583</v>
      </c>
      <c r="C64" s="175"/>
      <c r="D64" s="175"/>
      <c r="E64" s="175"/>
      <c r="F64" s="175"/>
      <c r="G64" s="175">
        <f>-27.31</f>
        <v>-27.31</v>
      </c>
      <c r="H64" s="175"/>
      <c r="I64" s="175"/>
      <c r="J64" s="175"/>
      <c r="K64" s="175"/>
      <c r="L64" s="175"/>
      <c r="M64" s="175"/>
      <c r="N64" s="175"/>
      <c r="O64" s="175"/>
      <c r="P64" s="175"/>
      <c r="Q64" s="534"/>
      <c r="R64" s="535"/>
      <c r="S64" s="535"/>
      <c r="T64" s="535"/>
      <c r="U64" s="535"/>
      <c r="V64" s="535"/>
    </row>
    <row r="65" spans="1:23" ht="15" customHeight="1">
      <c r="A65" s="325" t="s">
        <v>1542</v>
      </c>
      <c r="B65" s="323">
        <v>42614</v>
      </c>
      <c r="C65" s="175">
        <f>46.2+29.96+40.81+344.74+3.85+46.25+82.2+86.9+34.78</f>
        <v>715.69</v>
      </c>
      <c r="D65" s="175">
        <f>(148.46/2)+(20.64/2)</f>
        <v>84.550000000000011</v>
      </c>
      <c r="E65" s="175"/>
      <c r="F65" s="175"/>
      <c r="G65" s="175"/>
      <c r="H65" s="175"/>
      <c r="I65" s="175"/>
      <c r="J65" s="175"/>
      <c r="K65" s="175"/>
      <c r="L65" s="326">
        <f>286.9/1.3</f>
        <v>220.69230769230768</v>
      </c>
      <c r="M65" s="175"/>
      <c r="N65" s="175"/>
      <c r="O65" s="175"/>
      <c r="P65" s="175"/>
      <c r="Q65" s="534" t="s">
        <v>1682</v>
      </c>
      <c r="R65" s="535"/>
      <c r="S65" s="535"/>
      <c r="T65" s="535"/>
      <c r="U65" s="535"/>
      <c r="V65" s="535"/>
    </row>
    <row r="66" spans="1:23" ht="15" customHeight="1">
      <c r="A66" s="325" t="s">
        <v>1543</v>
      </c>
      <c r="B66" s="323">
        <v>42614</v>
      </c>
      <c r="C66" s="175"/>
      <c r="D66" s="175">
        <f>9.58</f>
        <v>9.58</v>
      </c>
      <c r="E66" s="175"/>
      <c r="F66" s="175"/>
      <c r="G66" s="175"/>
      <c r="H66" s="175"/>
      <c r="I66" s="175"/>
      <c r="J66" s="175"/>
      <c r="K66" s="175"/>
      <c r="L66" s="175"/>
      <c r="M66" s="175"/>
      <c r="N66" s="175"/>
      <c r="O66" s="175"/>
      <c r="P66" s="175"/>
      <c r="Q66" s="534"/>
      <c r="R66" s="535"/>
      <c r="S66" s="535"/>
      <c r="T66" s="535"/>
      <c r="U66" s="535"/>
      <c r="V66" s="535"/>
    </row>
    <row r="67" spans="1:23" ht="15" customHeight="1">
      <c r="A67" s="325" t="s">
        <v>1250</v>
      </c>
      <c r="B67" s="323">
        <v>42614</v>
      </c>
      <c r="C67" s="175"/>
      <c r="D67" s="175">
        <v>18.75</v>
      </c>
      <c r="E67" s="175"/>
      <c r="F67" s="175"/>
      <c r="G67" s="175"/>
      <c r="H67" s="175"/>
      <c r="I67" s="175"/>
      <c r="J67" s="175"/>
      <c r="K67" s="175"/>
      <c r="L67" s="175"/>
      <c r="M67" s="175"/>
      <c r="N67" s="175"/>
      <c r="O67" s="175"/>
      <c r="P67" s="175"/>
      <c r="Q67" s="534"/>
      <c r="R67" s="535"/>
      <c r="S67" s="535"/>
      <c r="T67" s="535"/>
      <c r="U67" s="535"/>
      <c r="V67" s="535"/>
    </row>
    <row r="68" spans="1:23" ht="15" customHeight="1">
      <c r="A68" s="325" t="s">
        <v>1543</v>
      </c>
      <c r="B68" s="323">
        <v>42614</v>
      </c>
      <c r="C68" s="175"/>
      <c r="D68" s="175"/>
      <c r="E68" s="175"/>
      <c r="F68" s="175">
        <f>136.25+74.25</f>
        <v>210.5</v>
      </c>
      <c r="G68" s="175"/>
      <c r="H68" s="175"/>
      <c r="I68" s="175">
        <f>24.45+59.05</f>
        <v>83.5</v>
      </c>
      <c r="J68" s="175"/>
      <c r="K68" s="175"/>
      <c r="L68" s="175"/>
      <c r="M68" s="175"/>
      <c r="N68" s="175"/>
      <c r="O68" s="175"/>
      <c r="P68" s="175"/>
      <c r="Q68" s="534"/>
      <c r="R68" s="535"/>
      <c r="S68" s="535"/>
      <c r="T68" s="535"/>
      <c r="U68" s="535"/>
      <c r="V68" s="535"/>
    </row>
    <row r="69" spans="1:23" ht="15" customHeight="1">
      <c r="A69" s="325" t="s">
        <v>1299</v>
      </c>
      <c r="B69" s="323">
        <v>42614</v>
      </c>
      <c r="C69" s="175"/>
      <c r="D69" s="175"/>
      <c r="E69" s="175"/>
      <c r="F69" s="175"/>
      <c r="G69" s="175">
        <f>-52.8-44.15</f>
        <v>-96.949999999999989</v>
      </c>
      <c r="H69" s="175"/>
      <c r="I69" s="175"/>
      <c r="J69" s="175"/>
      <c r="K69" s="175"/>
      <c r="L69" s="175"/>
      <c r="M69" s="175"/>
      <c r="N69" s="175"/>
      <c r="O69" s="175"/>
      <c r="P69" s="175"/>
      <c r="Q69" s="534"/>
      <c r="R69" s="535"/>
      <c r="S69" s="535"/>
      <c r="T69" s="535"/>
      <c r="U69" s="535"/>
      <c r="V69" s="535"/>
    </row>
    <row r="70" spans="1:23" ht="15" customHeight="1">
      <c r="A70" s="325" t="s">
        <v>1543</v>
      </c>
      <c r="B70" s="323">
        <v>42644</v>
      </c>
      <c r="C70" s="175"/>
      <c r="D70" s="175"/>
      <c r="E70" s="175"/>
      <c r="F70" s="175"/>
      <c r="G70" s="175"/>
      <c r="H70" s="175">
        <f>83.7+134.33</f>
        <v>218.03000000000003</v>
      </c>
      <c r="I70" s="175"/>
      <c r="J70" s="175"/>
      <c r="K70" s="175"/>
      <c r="L70" s="175"/>
      <c r="M70" s="175"/>
      <c r="N70" s="175"/>
      <c r="O70" s="175"/>
      <c r="P70" s="175"/>
      <c r="Q70" s="534"/>
      <c r="R70" s="535"/>
      <c r="S70" s="535"/>
      <c r="T70" s="535"/>
      <c r="U70" s="535"/>
      <c r="V70" s="535"/>
    </row>
    <row r="71" spans="1:23" ht="15" customHeight="1">
      <c r="A71" s="325" t="s">
        <v>1542</v>
      </c>
      <c r="B71" s="323">
        <v>42644</v>
      </c>
      <c r="C71" s="175">
        <f>37.2+49.25+30.81+66.24+15.11+41.4+104.6+7.76+3.69+114.6+16.64+8.72-104.6</f>
        <v>391.41999999999996</v>
      </c>
      <c r="D71" s="175">
        <f>6+5.6+19.39+34.21+8.6+10.29+10.3+15.76+12.86+6.56+3.66</f>
        <v>133.22999999999999</v>
      </c>
      <c r="E71" s="175"/>
      <c r="F71" s="175"/>
      <c r="G71" s="175"/>
      <c r="H71" s="175"/>
      <c r="I71" s="175"/>
      <c r="J71" s="175">
        <f>224.35</f>
        <v>224.35</v>
      </c>
      <c r="K71" s="175"/>
      <c r="L71" s="175">
        <f>104.1/1.3</f>
        <v>80.076923076923066</v>
      </c>
      <c r="M71" s="175"/>
      <c r="N71" s="175"/>
      <c r="O71" s="175"/>
      <c r="P71" s="175"/>
      <c r="Q71" s="534" t="s">
        <v>1684</v>
      </c>
      <c r="R71" s="535"/>
      <c r="S71" s="535"/>
      <c r="T71" s="535"/>
      <c r="U71" s="535"/>
      <c r="V71" s="535"/>
    </row>
    <row r="72" spans="1:23" ht="15" customHeight="1">
      <c r="A72" s="325" t="s">
        <v>1554</v>
      </c>
      <c r="B72" s="323">
        <v>42644</v>
      </c>
      <c r="C72" s="175"/>
      <c r="D72" s="175">
        <f>349.2+56.25</f>
        <v>405.45</v>
      </c>
      <c r="E72" s="175"/>
      <c r="F72" s="175"/>
      <c r="G72" s="175"/>
      <c r="H72" s="175"/>
      <c r="I72" s="175"/>
      <c r="J72" s="175"/>
      <c r="K72" s="175"/>
      <c r="L72" s="175"/>
      <c r="M72" s="175"/>
      <c r="N72" s="175"/>
      <c r="O72" s="175"/>
      <c r="P72" s="175"/>
      <c r="Q72" s="534"/>
      <c r="R72" s="535"/>
      <c r="S72" s="535"/>
      <c r="T72" s="535"/>
      <c r="U72" s="535"/>
      <c r="V72" s="535"/>
    </row>
    <row r="73" spans="1:23" ht="15" customHeight="1">
      <c r="A73" s="325"/>
      <c r="B73" s="323"/>
      <c r="C73" s="175"/>
      <c r="D73" s="175"/>
      <c r="E73" s="175"/>
      <c r="F73" s="175"/>
      <c r="G73" s="175"/>
      <c r="H73" s="175"/>
      <c r="I73" s="175"/>
      <c r="J73" s="175"/>
      <c r="K73" s="175"/>
      <c r="L73" s="175"/>
      <c r="M73" s="175"/>
      <c r="N73" s="175"/>
      <c r="O73" s="175"/>
      <c r="P73" s="175"/>
      <c r="Q73" s="534"/>
      <c r="R73" s="535"/>
      <c r="S73" s="535"/>
      <c r="T73" s="535"/>
      <c r="U73" s="535"/>
      <c r="V73" s="535"/>
    </row>
    <row r="74" spans="1:23" ht="15" customHeight="1">
      <c r="A74" s="325"/>
      <c r="B74" s="323"/>
      <c r="C74" s="175"/>
      <c r="D74" s="175"/>
      <c r="E74" s="175"/>
      <c r="F74" s="175"/>
      <c r="G74" s="175"/>
      <c r="H74" s="175"/>
      <c r="I74" s="175"/>
      <c r="J74" s="175"/>
      <c r="K74" s="175"/>
      <c r="L74" s="175"/>
      <c r="M74" s="175"/>
      <c r="N74" s="175"/>
      <c r="O74" s="175"/>
      <c r="P74" s="175"/>
      <c r="Q74" s="534"/>
      <c r="R74" s="535"/>
      <c r="S74" s="535"/>
      <c r="T74" s="535"/>
      <c r="U74" s="535"/>
      <c r="V74" s="535"/>
    </row>
    <row r="75" spans="1:23" ht="15" customHeight="1">
      <c r="A75" s="325" t="s">
        <v>1670</v>
      </c>
      <c r="B75" s="323">
        <v>42644</v>
      </c>
      <c r="C75" s="175"/>
      <c r="D75" s="175">
        <f>15.92+4.76+4.88</f>
        <v>25.56</v>
      </c>
      <c r="E75" s="175"/>
      <c r="F75" s="175"/>
      <c r="G75" s="175"/>
      <c r="H75" s="175"/>
      <c r="I75" s="175"/>
      <c r="J75" s="175"/>
      <c r="K75" s="175"/>
      <c r="L75" s="175"/>
      <c r="M75" s="175"/>
      <c r="N75" s="175"/>
      <c r="O75" s="175"/>
      <c r="P75" s="175"/>
      <c r="Q75" s="534"/>
      <c r="R75" s="535"/>
      <c r="S75" s="535"/>
      <c r="T75" s="535"/>
      <c r="U75" s="535"/>
      <c r="V75" s="535"/>
    </row>
    <row r="76" spans="1:23" ht="15" customHeight="1">
      <c r="A76" s="325"/>
      <c r="B76" s="323"/>
      <c r="C76" s="175"/>
      <c r="D76" s="175"/>
      <c r="E76" s="175"/>
      <c r="F76" s="175"/>
      <c r="G76" s="175"/>
      <c r="H76" s="175"/>
      <c r="I76" s="175"/>
      <c r="J76" s="175"/>
      <c r="K76" s="175"/>
      <c r="L76" s="175"/>
      <c r="M76" s="175"/>
      <c r="N76" s="175"/>
      <c r="O76" s="175"/>
      <c r="P76" s="175"/>
      <c r="Q76" s="534"/>
      <c r="R76" s="535"/>
      <c r="S76" s="535"/>
      <c r="T76" s="535"/>
      <c r="U76" s="535"/>
      <c r="V76" s="535"/>
    </row>
    <row r="77" spans="1:23" ht="15" customHeight="1">
      <c r="A77" s="325" t="s">
        <v>1528</v>
      </c>
      <c r="B77" s="323">
        <v>42675</v>
      </c>
      <c r="C77" s="175"/>
      <c r="D77" s="175"/>
      <c r="E77" s="175"/>
      <c r="F77" s="175"/>
      <c r="G77" s="175"/>
      <c r="H77" s="175"/>
      <c r="I77" s="175"/>
      <c r="J77" s="175"/>
      <c r="K77" s="175"/>
      <c r="L77" s="326">
        <f>1448.04+1087.68</f>
        <v>2535.7200000000003</v>
      </c>
      <c r="M77" s="175"/>
      <c r="N77" s="175"/>
      <c r="O77" s="175"/>
      <c r="P77" s="175"/>
      <c r="Q77" s="534" t="s">
        <v>1679</v>
      </c>
      <c r="R77" s="535"/>
      <c r="S77" s="535"/>
      <c r="T77" s="535"/>
      <c r="U77" s="535"/>
      <c r="V77" s="535"/>
      <c r="W77" s="326"/>
    </row>
    <row r="78" spans="1:23" ht="15" customHeight="1">
      <c r="A78" s="325" t="s">
        <v>1543</v>
      </c>
      <c r="B78" s="323">
        <v>42675</v>
      </c>
      <c r="C78" s="175"/>
      <c r="D78" s="175"/>
      <c r="E78" s="175"/>
      <c r="F78" s="175"/>
      <c r="G78" s="175"/>
      <c r="H78" s="175">
        <f>89.55</f>
        <v>89.55</v>
      </c>
      <c r="I78" s="175"/>
      <c r="J78" s="175"/>
      <c r="K78" s="175"/>
      <c r="L78" s="175"/>
      <c r="M78" s="175"/>
      <c r="N78" s="175"/>
      <c r="O78" s="175"/>
      <c r="P78" s="175"/>
      <c r="Q78" s="534"/>
      <c r="R78" s="535"/>
      <c r="S78" s="535"/>
      <c r="T78" s="535"/>
      <c r="U78" s="535"/>
      <c r="V78" s="535"/>
    </row>
    <row r="79" spans="1:23" ht="15" customHeight="1">
      <c r="A79" s="325" t="s">
        <v>1556</v>
      </c>
      <c r="B79" s="323">
        <v>42675</v>
      </c>
      <c r="C79" s="175"/>
      <c r="D79" s="175"/>
      <c r="E79" s="175"/>
      <c r="F79" s="175"/>
      <c r="G79" s="175"/>
      <c r="H79" s="175"/>
      <c r="I79" s="175"/>
      <c r="J79" s="175"/>
      <c r="K79" s="175"/>
      <c r="L79" s="326">
        <f>752.4+720</f>
        <v>1472.4</v>
      </c>
      <c r="M79" s="175"/>
      <c r="N79" s="175"/>
      <c r="O79" s="175"/>
      <c r="P79" s="175"/>
      <c r="Q79" s="534" t="s">
        <v>1680</v>
      </c>
      <c r="R79" s="535"/>
      <c r="S79" s="535"/>
      <c r="T79" s="535"/>
      <c r="U79" s="535"/>
      <c r="V79" s="535"/>
    </row>
    <row r="80" spans="1:23" ht="15" customHeight="1">
      <c r="A80" s="325" t="s">
        <v>1542</v>
      </c>
      <c r="B80" s="323">
        <v>42675</v>
      </c>
      <c r="C80" s="175"/>
      <c r="D80" s="175"/>
      <c r="E80" s="175"/>
      <c r="F80" s="175"/>
      <c r="G80" s="175"/>
      <c r="H80" s="175"/>
      <c r="I80" s="175"/>
      <c r="J80" s="175"/>
      <c r="K80" s="175"/>
      <c r="L80" s="326">
        <f>1275.84</f>
        <v>1275.8399999999999</v>
      </c>
      <c r="M80" s="175"/>
      <c r="N80" s="175"/>
      <c r="O80" s="175"/>
      <c r="P80" s="175"/>
      <c r="Q80" s="534" t="s">
        <v>1681</v>
      </c>
      <c r="R80" s="535"/>
      <c r="S80" s="535"/>
      <c r="T80" s="535"/>
      <c r="U80" s="535"/>
      <c r="V80" s="535"/>
    </row>
    <row r="81" spans="1:22" ht="15" customHeight="1">
      <c r="A81" s="325" t="s">
        <v>1670</v>
      </c>
      <c r="B81" s="323">
        <v>42675</v>
      </c>
      <c r="C81" s="175"/>
      <c r="D81" s="175">
        <v>8.5</v>
      </c>
      <c r="E81" s="175"/>
      <c r="F81" s="175"/>
      <c r="G81" s="175"/>
      <c r="H81" s="175"/>
      <c r="I81" s="175"/>
      <c r="J81" s="175"/>
      <c r="K81" s="175"/>
      <c r="L81" s="175"/>
      <c r="M81" s="175"/>
      <c r="N81" s="175"/>
      <c r="O81" s="175"/>
      <c r="P81" s="175"/>
      <c r="Q81" s="534" t="s">
        <v>1677</v>
      </c>
      <c r="R81" s="535"/>
      <c r="S81" s="535"/>
      <c r="T81" s="535"/>
      <c r="U81" s="535"/>
      <c r="V81" s="535"/>
    </row>
    <row r="82" spans="1:22" ht="15" customHeight="1">
      <c r="A82" s="325"/>
      <c r="B82" s="323"/>
      <c r="C82" s="175"/>
      <c r="D82" s="175"/>
      <c r="E82" s="175"/>
      <c r="F82" s="175"/>
      <c r="G82" s="175"/>
      <c r="H82" s="175"/>
      <c r="I82" s="175"/>
      <c r="J82" s="175"/>
      <c r="K82" s="175"/>
      <c r="L82" s="175"/>
      <c r="M82" s="175"/>
      <c r="N82" s="175"/>
      <c r="O82" s="175"/>
      <c r="P82" s="175"/>
      <c r="Q82" s="534"/>
      <c r="R82" s="535"/>
      <c r="S82" s="535"/>
      <c r="T82" s="535"/>
      <c r="U82" s="535"/>
      <c r="V82" s="535"/>
    </row>
    <row r="83" spans="1:22" ht="15" customHeight="1">
      <c r="A83" s="325" t="s">
        <v>1250</v>
      </c>
      <c r="B83" s="323">
        <v>42644</v>
      </c>
      <c r="C83" s="175"/>
      <c r="D83" s="175">
        <f>7.14+1.77</f>
        <v>8.91</v>
      </c>
      <c r="E83" s="175"/>
      <c r="F83" s="175"/>
      <c r="G83" s="175"/>
      <c r="H83" s="175"/>
      <c r="I83" s="175"/>
      <c r="J83" s="175"/>
      <c r="K83" s="175"/>
      <c r="L83" s="175"/>
      <c r="M83" s="175"/>
      <c r="N83" s="175"/>
      <c r="O83" s="175"/>
      <c r="P83" s="175"/>
      <c r="Q83" s="534" t="s">
        <v>1678</v>
      </c>
      <c r="R83" s="535"/>
      <c r="S83" s="535"/>
      <c r="T83" s="535"/>
      <c r="U83" s="535"/>
      <c r="V83" s="535"/>
    </row>
    <row r="84" spans="1:22" ht="15" customHeight="1">
      <c r="A84" s="325" t="s">
        <v>1542</v>
      </c>
      <c r="B84" s="323">
        <v>42675</v>
      </c>
      <c r="C84" s="175">
        <f>30.45</f>
        <v>30.45</v>
      </c>
      <c r="D84" s="175"/>
      <c r="E84" s="175"/>
      <c r="F84" s="175"/>
      <c r="G84" s="175"/>
      <c r="H84" s="175"/>
      <c r="I84" s="175"/>
      <c r="J84" s="175"/>
      <c r="K84" s="175"/>
      <c r="L84" s="175"/>
      <c r="M84" s="175"/>
      <c r="N84" s="175"/>
      <c r="O84" s="175"/>
      <c r="P84" s="175"/>
      <c r="Q84" s="534"/>
      <c r="R84" s="535"/>
      <c r="S84" s="535"/>
      <c r="T84" s="535"/>
      <c r="U84" s="535"/>
      <c r="V84" s="535"/>
    </row>
    <row r="85" spans="1:22" ht="15" customHeight="1">
      <c r="A85" s="325"/>
      <c r="B85" s="323"/>
      <c r="C85" s="175"/>
      <c r="D85" s="175"/>
      <c r="E85" s="175"/>
      <c r="F85" s="175"/>
      <c r="G85" s="175"/>
      <c r="H85" s="175"/>
      <c r="I85" s="175"/>
      <c r="J85" s="175"/>
      <c r="K85" s="175"/>
      <c r="L85" s="175"/>
      <c r="M85" s="175"/>
      <c r="N85" s="175"/>
      <c r="O85" s="175"/>
      <c r="P85" s="175"/>
      <c r="Q85" s="534"/>
      <c r="R85" s="535"/>
      <c r="S85" s="535"/>
      <c r="T85" s="535"/>
      <c r="U85" s="535"/>
      <c r="V85" s="535"/>
    </row>
    <row r="86" spans="1:22" ht="15" customHeight="1">
      <c r="A86" s="327"/>
      <c r="B86" s="323"/>
      <c r="C86" s="175"/>
      <c r="D86" s="175"/>
      <c r="E86" s="175"/>
      <c r="F86" s="175"/>
      <c r="G86" s="175"/>
      <c r="H86" s="175"/>
      <c r="I86" s="175"/>
      <c r="J86" s="175"/>
      <c r="K86" s="175"/>
      <c r="L86" s="175"/>
      <c r="M86" s="175"/>
      <c r="N86" s="175"/>
      <c r="O86" s="175"/>
      <c r="P86" s="175"/>
      <c r="Q86" s="534"/>
      <c r="R86" s="535"/>
      <c r="S86" s="535"/>
      <c r="T86" s="535"/>
      <c r="U86" s="535"/>
      <c r="V86" s="535"/>
    </row>
    <row r="87" spans="1:22" ht="15" customHeight="1">
      <c r="A87" s="327"/>
      <c r="B87" s="323"/>
      <c r="C87" s="175"/>
      <c r="D87" s="175"/>
      <c r="E87" s="175"/>
      <c r="F87" s="175"/>
      <c r="G87" s="175"/>
      <c r="H87" s="175"/>
      <c r="I87" s="175"/>
      <c r="J87" s="175"/>
      <c r="K87" s="175"/>
      <c r="L87" s="175"/>
      <c r="M87" s="175"/>
      <c r="N87" s="175"/>
      <c r="O87" s="175"/>
      <c r="P87" s="175"/>
      <c r="Q87" s="534"/>
      <c r="R87" s="535"/>
      <c r="S87" s="535"/>
      <c r="T87" s="535"/>
      <c r="U87" s="535"/>
      <c r="V87" s="535"/>
    </row>
    <row r="88" spans="1:22" ht="15" customHeight="1">
      <c r="A88" s="327"/>
      <c r="B88" s="323"/>
      <c r="C88" s="175"/>
      <c r="D88" s="175"/>
      <c r="E88" s="175"/>
      <c r="F88" s="175"/>
      <c r="G88" s="175"/>
      <c r="H88" s="175"/>
      <c r="I88" s="175"/>
      <c r="J88" s="175"/>
      <c r="K88" s="175"/>
      <c r="L88" s="175"/>
      <c r="M88" s="175"/>
      <c r="N88" s="175"/>
      <c r="O88" s="175"/>
      <c r="P88" s="175"/>
      <c r="Q88" s="534"/>
      <c r="R88" s="535"/>
      <c r="S88" s="535"/>
      <c r="T88" s="535"/>
      <c r="U88" s="535"/>
      <c r="V88" s="535"/>
    </row>
    <row r="89" spans="1:22" ht="15" customHeight="1">
      <c r="A89" s="327"/>
      <c r="B89" s="323"/>
      <c r="C89" s="175"/>
      <c r="D89" s="175"/>
      <c r="E89" s="175"/>
      <c r="F89" s="175"/>
      <c r="G89" s="175"/>
      <c r="H89" s="175"/>
      <c r="I89" s="175"/>
      <c r="J89" s="175"/>
      <c r="K89" s="175"/>
      <c r="L89" s="175"/>
      <c r="M89" s="175"/>
      <c r="N89" s="175"/>
      <c r="O89" s="175"/>
      <c r="P89" s="175"/>
      <c r="Q89" s="534"/>
      <c r="R89" s="535"/>
      <c r="S89" s="535"/>
      <c r="T89" s="535"/>
      <c r="U89" s="535"/>
      <c r="V89" s="535"/>
    </row>
    <row r="90" spans="1:22" ht="15" customHeight="1">
      <c r="A90" s="327"/>
      <c r="B90" s="323"/>
      <c r="C90" s="175"/>
      <c r="D90" s="175"/>
      <c r="E90" s="175"/>
      <c r="F90" s="175"/>
      <c r="G90" s="175"/>
      <c r="H90" s="175"/>
      <c r="I90" s="175"/>
      <c r="J90" s="175"/>
      <c r="K90" s="175"/>
      <c r="L90" s="175"/>
      <c r="M90" s="175"/>
      <c r="N90" s="175"/>
      <c r="O90" s="175"/>
      <c r="P90" s="175"/>
      <c r="Q90" s="534"/>
      <c r="R90" s="535"/>
      <c r="S90" s="535"/>
      <c r="T90" s="535"/>
      <c r="U90" s="535"/>
      <c r="V90" s="535"/>
    </row>
    <row r="91" spans="1:22" ht="15" customHeight="1">
      <c r="A91" s="327"/>
      <c r="B91" s="323"/>
      <c r="C91" s="175"/>
      <c r="D91" s="175"/>
      <c r="E91" s="175"/>
      <c r="F91" s="175"/>
      <c r="G91" s="175"/>
      <c r="H91" s="175"/>
      <c r="I91" s="175"/>
      <c r="J91" s="175"/>
      <c r="K91" s="175"/>
      <c r="L91" s="175"/>
      <c r="M91" s="175"/>
      <c r="N91" s="175"/>
      <c r="O91" s="175"/>
      <c r="P91" s="175"/>
      <c r="Q91" s="534"/>
      <c r="R91" s="535"/>
      <c r="S91" s="535"/>
      <c r="T91" s="535"/>
      <c r="U91" s="535"/>
      <c r="V91" s="535"/>
    </row>
    <row r="92" spans="1:22" ht="15" customHeight="1">
      <c r="A92" s="327"/>
      <c r="B92" s="323"/>
      <c r="C92" s="175"/>
      <c r="D92" s="175"/>
      <c r="E92" s="175"/>
      <c r="F92" s="175"/>
      <c r="G92" s="175"/>
      <c r="H92" s="175"/>
      <c r="I92" s="175"/>
      <c r="J92" s="175"/>
      <c r="K92" s="175"/>
      <c r="L92" s="175"/>
      <c r="M92" s="175"/>
      <c r="N92" s="175"/>
      <c r="O92" s="175"/>
      <c r="P92" s="175"/>
      <c r="Q92" s="534"/>
      <c r="R92" s="535"/>
      <c r="S92" s="535"/>
      <c r="T92" s="535"/>
      <c r="U92" s="535"/>
      <c r="V92" s="535"/>
    </row>
    <row r="93" spans="1:22" ht="15" customHeight="1">
      <c r="A93" s="327"/>
      <c r="B93" s="323"/>
      <c r="C93" s="175"/>
      <c r="D93" s="175"/>
      <c r="E93" s="175"/>
      <c r="F93" s="175"/>
      <c r="G93" s="175"/>
      <c r="H93" s="175"/>
      <c r="I93" s="175"/>
      <c r="J93" s="175"/>
      <c r="K93" s="175"/>
      <c r="L93" s="175"/>
      <c r="M93" s="175"/>
      <c r="N93" s="175"/>
      <c r="O93" s="175"/>
      <c r="P93" s="175"/>
      <c r="Q93" s="534"/>
      <c r="R93" s="535"/>
      <c r="S93" s="535"/>
      <c r="T93" s="535"/>
      <c r="U93" s="535"/>
      <c r="V93" s="535"/>
    </row>
    <row r="94" spans="1:22" ht="15" customHeight="1">
      <c r="A94" s="327"/>
      <c r="B94" s="323"/>
      <c r="C94" s="175"/>
      <c r="D94" s="175"/>
      <c r="E94" s="175"/>
      <c r="F94" s="175"/>
      <c r="G94" s="175"/>
      <c r="H94" s="175"/>
      <c r="I94" s="175"/>
      <c r="J94" s="175"/>
      <c r="K94" s="175"/>
      <c r="L94" s="175"/>
      <c r="M94" s="175"/>
      <c r="N94" s="175"/>
      <c r="O94" s="175"/>
      <c r="P94" s="175"/>
      <c r="Q94" s="534"/>
      <c r="R94" s="535"/>
      <c r="S94" s="535"/>
      <c r="T94" s="535"/>
      <c r="U94" s="535"/>
      <c r="V94" s="535"/>
    </row>
    <row r="95" spans="1:22" ht="15" customHeight="1">
      <c r="A95" s="327"/>
      <c r="B95" s="323"/>
      <c r="C95" s="175"/>
      <c r="D95" s="175"/>
      <c r="E95" s="175"/>
      <c r="F95" s="175"/>
      <c r="G95" s="175"/>
      <c r="H95" s="175"/>
      <c r="I95" s="175"/>
      <c r="J95" s="175"/>
      <c r="K95" s="175"/>
      <c r="L95" s="175"/>
      <c r="M95" s="175"/>
      <c r="N95" s="175"/>
      <c r="O95" s="175"/>
      <c r="P95" s="175"/>
      <c r="Q95" s="534"/>
      <c r="R95" s="535"/>
      <c r="S95" s="535"/>
      <c r="T95" s="535"/>
      <c r="U95" s="535"/>
      <c r="V95" s="535"/>
    </row>
    <row r="96" spans="1:22" ht="15" customHeight="1">
      <c r="A96" s="327"/>
      <c r="B96" s="323"/>
      <c r="C96" s="175"/>
      <c r="D96" s="175"/>
      <c r="E96" s="175"/>
      <c r="F96" s="175"/>
      <c r="G96" s="175"/>
      <c r="H96" s="175"/>
      <c r="I96" s="175"/>
      <c r="J96" s="175"/>
      <c r="K96" s="175"/>
      <c r="L96" s="175"/>
      <c r="M96" s="175"/>
      <c r="N96" s="175"/>
      <c r="O96" s="175"/>
      <c r="P96" s="175"/>
      <c r="Q96" s="534"/>
      <c r="R96" s="535"/>
      <c r="S96" s="535"/>
      <c r="T96" s="535"/>
      <c r="U96" s="535"/>
      <c r="V96" s="535"/>
    </row>
    <row r="97" spans="1:22" ht="15" customHeight="1">
      <c r="A97" s="327"/>
      <c r="B97" s="323"/>
      <c r="C97" s="175"/>
      <c r="D97" s="175"/>
      <c r="E97" s="175"/>
      <c r="F97" s="175"/>
      <c r="G97" s="175"/>
      <c r="H97" s="175"/>
      <c r="I97" s="175"/>
      <c r="J97" s="175"/>
      <c r="K97" s="175"/>
      <c r="L97" s="175"/>
      <c r="M97" s="175"/>
      <c r="N97" s="175"/>
      <c r="O97" s="175"/>
      <c r="P97" s="175"/>
      <c r="Q97" s="534"/>
      <c r="R97" s="535"/>
      <c r="S97" s="535"/>
      <c r="T97" s="535"/>
      <c r="U97" s="535"/>
      <c r="V97" s="535"/>
    </row>
    <row r="98" spans="1:22" ht="15" customHeight="1">
      <c r="A98" s="327"/>
      <c r="B98" s="323"/>
      <c r="C98" s="175"/>
      <c r="D98" s="175"/>
      <c r="E98" s="175"/>
      <c r="F98" s="175"/>
      <c r="G98" s="175"/>
      <c r="H98" s="175"/>
      <c r="I98" s="175"/>
      <c r="J98" s="175"/>
      <c r="K98" s="175"/>
      <c r="L98" s="175"/>
      <c r="M98" s="175"/>
      <c r="N98" s="175"/>
      <c r="O98" s="175"/>
      <c r="P98" s="175"/>
      <c r="Q98" s="534"/>
      <c r="R98" s="535"/>
      <c r="S98" s="535"/>
      <c r="T98" s="535"/>
      <c r="U98" s="535"/>
      <c r="V98" s="535"/>
    </row>
    <row r="99" spans="1:22" ht="15" customHeight="1">
      <c r="A99" s="327"/>
      <c r="B99" s="323"/>
      <c r="C99" s="175"/>
      <c r="D99" s="175"/>
      <c r="E99" s="175"/>
      <c r="F99" s="175"/>
      <c r="G99" s="175"/>
      <c r="H99" s="175"/>
      <c r="I99" s="175"/>
      <c r="J99" s="175"/>
      <c r="K99" s="175"/>
      <c r="L99" s="175"/>
      <c r="M99" s="175"/>
      <c r="N99" s="175"/>
      <c r="O99" s="175"/>
      <c r="P99" s="175"/>
      <c r="Q99" s="534"/>
      <c r="R99" s="535"/>
      <c r="S99" s="535"/>
      <c r="T99" s="535"/>
      <c r="U99" s="535"/>
      <c r="V99" s="535"/>
    </row>
    <row r="100" spans="1:22" ht="15" customHeight="1">
      <c r="A100" s="327"/>
      <c r="B100" s="323"/>
      <c r="C100" s="175"/>
      <c r="D100" s="175"/>
      <c r="E100" s="175"/>
      <c r="F100" s="175"/>
      <c r="G100" s="175"/>
      <c r="H100" s="175"/>
      <c r="I100" s="175"/>
      <c r="J100" s="175"/>
      <c r="K100" s="175"/>
      <c r="L100" s="175"/>
      <c r="M100" s="175"/>
      <c r="N100" s="175"/>
      <c r="O100" s="175"/>
      <c r="P100" s="175"/>
      <c r="Q100" s="534"/>
      <c r="R100" s="535"/>
      <c r="S100" s="535"/>
      <c r="T100" s="535"/>
      <c r="U100" s="535"/>
      <c r="V100" s="535"/>
    </row>
    <row r="101" spans="1:22" ht="15" customHeight="1">
      <c r="A101" s="327"/>
      <c r="B101" s="323"/>
      <c r="C101" s="175"/>
      <c r="D101" s="175"/>
      <c r="E101" s="175"/>
      <c r="F101" s="175"/>
      <c r="G101" s="175"/>
      <c r="H101" s="175"/>
      <c r="I101" s="175"/>
      <c r="J101" s="175"/>
      <c r="K101" s="175"/>
      <c r="L101" s="175"/>
      <c r="M101" s="175"/>
      <c r="N101" s="175"/>
      <c r="O101" s="175"/>
      <c r="P101" s="175"/>
      <c r="Q101" s="534"/>
      <c r="R101" s="535"/>
      <c r="S101" s="535"/>
      <c r="T101" s="535"/>
      <c r="U101" s="535"/>
      <c r="V101" s="535"/>
    </row>
    <row r="102" spans="1:22" ht="15" customHeight="1">
      <c r="A102" s="327"/>
      <c r="B102" s="323"/>
      <c r="C102" s="175"/>
      <c r="D102" s="175"/>
      <c r="E102" s="175"/>
      <c r="F102" s="175"/>
      <c r="G102" s="175"/>
      <c r="H102" s="175"/>
      <c r="I102" s="175"/>
      <c r="J102" s="175"/>
      <c r="K102" s="175"/>
      <c r="L102" s="175"/>
      <c r="M102" s="175"/>
      <c r="N102" s="175"/>
      <c r="O102" s="175"/>
      <c r="P102" s="175"/>
      <c r="Q102" s="534"/>
      <c r="R102" s="535"/>
      <c r="S102" s="535"/>
      <c r="T102" s="535"/>
      <c r="U102" s="535"/>
      <c r="V102" s="535"/>
    </row>
    <row r="103" spans="1:22" ht="15" customHeight="1">
      <c r="A103" s="327"/>
      <c r="B103" s="323"/>
      <c r="C103" s="175"/>
      <c r="D103" s="175"/>
      <c r="E103" s="175"/>
      <c r="F103" s="175"/>
      <c r="G103" s="175"/>
      <c r="H103" s="175"/>
      <c r="I103" s="175"/>
      <c r="J103" s="175"/>
      <c r="K103" s="175"/>
      <c r="L103" s="175"/>
      <c r="M103" s="175"/>
      <c r="N103" s="175"/>
      <c r="O103" s="175"/>
      <c r="P103" s="175"/>
      <c r="Q103" s="534"/>
      <c r="R103" s="535"/>
      <c r="S103" s="535"/>
      <c r="T103" s="535"/>
      <c r="U103" s="535"/>
      <c r="V103" s="535"/>
    </row>
    <row r="104" spans="1:22" ht="15" customHeight="1">
      <c r="A104" s="327"/>
      <c r="B104" s="323"/>
      <c r="C104" s="175"/>
      <c r="D104" s="175"/>
      <c r="E104" s="175"/>
      <c r="F104" s="175"/>
      <c r="G104" s="175"/>
      <c r="H104" s="175"/>
      <c r="I104" s="175"/>
      <c r="J104" s="175"/>
      <c r="K104" s="175"/>
      <c r="L104" s="175"/>
      <c r="M104" s="175"/>
      <c r="N104" s="175"/>
      <c r="O104" s="175"/>
      <c r="P104" s="175"/>
      <c r="Q104" s="534"/>
      <c r="R104" s="535"/>
      <c r="S104" s="535"/>
      <c r="T104" s="535"/>
      <c r="U104" s="535"/>
      <c r="V104" s="535"/>
    </row>
    <row r="105" spans="1:22" ht="15" customHeight="1">
      <c r="A105" s="327"/>
      <c r="B105" s="323"/>
      <c r="C105" s="175"/>
      <c r="D105" s="175"/>
      <c r="E105" s="175"/>
      <c r="F105" s="175"/>
      <c r="G105" s="175"/>
      <c r="H105" s="175"/>
      <c r="I105" s="175"/>
      <c r="J105" s="175"/>
      <c r="K105" s="175"/>
      <c r="L105" s="175"/>
      <c r="M105" s="175"/>
      <c r="N105" s="175"/>
      <c r="O105" s="175"/>
      <c r="P105" s="175"/>
      <c r="Q105" s="534"/>
      <c r="R105" s="535"/>
      <c r="S105" s="535"/>
      <c r="T105" s="535"/>
      <c r="U105" s="535"/>
      <c r="V105" s="535"/>
    </row>
    <row r="106" spans="1:22" ht="15" customHeight="1">
      <c r="A106" s="327"/>
      <c r="B106" s="323"/>
      <c r="C106" s="175"/>
      <c r="D106" s="175"/>
      <c r="E106" s="175"/>
      <c r="F106" s="175"/>
      <c r="G106" s="175"/>
      <c r="H106" s="175"/>
      <c r="I106" s="175"/>
      <c r="J106" s="175"/>
      <c r="K106" s="175"/>
      <c r="L106" s="175"/>
      <c r="M106" s="175"/>
      <c r="N106" s="175"/>
      <c r="O106" s="175"/>
      <c r="P106" s="175"/>
      <c r="Q106" s="534"/>
      <c r="R106" s="535"/>
      <c r="S106" s="535"/>
      <c r="T106" s="535"/>
      <c r="U106" s="535"/>
      <c r="V106" s="535"/>
    </row>
    <row r="107" spans="1:22" ht="15" customHeight="1">
      <c r="A107" s="327"/>
      <c r="B107" s="323"/>
      <c r="C107" s="175"/>
      <c r="D107" s="175"/>
      <c r="E107" s="175"/>
      <c r="F107" s="175"/>
      <c r="G107" s="175"/>
      <c r="H107" s="175"/>
      <c r="I107" s="175"/>
      <c r="J107" s="175"/>
      <c r="K107" s="175"/>
      <c r="L107" s="175"/>
      <c r="M107" s="175"/>
      <c r="N107" s="175"/>
      <c r="O107" s="175"/>
      <c r="P107" s="175"/>
      <c r="Q107" s="534"/>
      <c r="R107" s="535"/>
      <c r="S107" s="535"/>
      <c r="T107" s="535"/>
      <c r="U107" s="535"/>
      <c r="V107" s="535"/>
    </row>
    <row r="108" spans="1:22" ht="15" customHeight="1">
      <c r="A108" s="327"/>
      <c r="B108" s="323"/>
      <c r="C108" s="175"/>
      <c r="D108" s="175"/>
      <c r="E108" s="175"/>
      <c r="F108" s="175"/>
      <c r="G108" s="175"/>
      <c r="H108" s="175"/>
      <c r="I108" s="175"/>
      <c r="J108" s="175"/>
      <c r="K108" s="175"/>
      <c r="L108" s="175"/>
      <c r="M108" s="175"/>
      <c r="N108" s="175"/>
      <c r="O108" s="175"/>
      <c r="P108" s="175"/>
      <c r="Q108" s="534"/>
      <c r="R108" s="535"/>
      <c r="S108" s="535"/>
      <c r="T108" s="535"/>
      <c r="U108" s="535"/>
      <c r="V108" s="535"/>
    </row>
    <row r="109" spans="1:22" ht="15" customHeight="1">
      <c r="A109" s="327"/>
      <c r="B109" s="323"/>
      <c r="C109" s="175"/>
      <c r="D109" s="175"/>
      <c r="E109" s="175"/>
      <c r="F109" s="175"/>
      <c r="G109" s="175"/>
      <c r="H109" s="175"/>
      <c r="I109" s="175"/>
      <c r="J109" s="175"/>
      <c r="K109" s="175"/>
      <c r="L109" s="175"/>
      <c r="M109" s="175"/>
      <c r="N109" s="175"/>
      <c r="O109" s="175"/>
      <c r="P109" s="175"/>
      <c r="Q109" s="534"/>
      <c r="R109" s="535"/>
      <c r="S109" s="535"/>
      <c r="T109" s="535"/>
      <c r="U109" s="535"/>
      <c r="V109" s="535"/>
    </row>
    <row r="110" spans="1:22" ht="15" customHeight="1">
      <c r="A110" s="327"/>
      <c r="B110" s="323"/>
      <c r="C110" s="175"/>
      <c r="D110" s="175"/>
      <c r="E110" s="175"/>
      <c r="F110" s="175"/>
      <c r="G110" s="175"/>
      <c r="H110" s="175"/>
      <c r="I110" s="175"/>
      <c r="J110" s="175"/>
      <c r="K110" s="175"/>
      <c r="L110" s="175"/>
      <c r="M110" s="175"/>
      <c r="N110" s="175"/>
      <c r="O110" s="175"/>
      <c r="P110" s="175"/>
      <c r="Q110" s="534"/>
      <c r="R110" s="535"/>
      <c r="S110" s="535"/>
      <c r="T110" s="535"/>
      <c r="U110" s="535"/>
      <c r="V110" s="535"/>
    </row>
    <row r="111" spans="1:22" ht="15" customHeight="1">
      <c r="A111" s="327"/>
      <c r="B111" s="323"/>
      <c r="C111" s="175"/>
      <c r="D111" s="175"/>
      <c r="E111" s="175"/>
      <c r="F111" s="175"/>
      <c r="G111" s="175"/>
      <c r="H111" s="175"/>
      <c r="I111" s="175"/>
      <c r="J111" s="175"/>
      <c r="K111" s="175"/>
      <c r="L111" s="175"/>
      <c r="M111" s="175"/>
      <c r="N111" s="175"/>
      <c r="O111" s="175"/>
      <c r="P111" s="175"/>
      <c r="Q111" s="534"/>
      <c r="R111" s="535"/>
      <c r="S111" s="535"/>
      <c r="T111" s="535"/>
      <c r="U111" s="535"/>
      <c r="V111" s="535"/>
    </row>
    <row r="112" spans="1:22" ht="15" customHeight="1">
      <c r="A112" s="327"/>
      <c r="B112" s="323"/>
      <c r="C112" s="175"/>
      <c r="D112" s="175"/>
      <c r="E112" s="175"/>
      <c r="F112" s="175"/>
      <c r="G112" s="175"/>
      <c r="H112" s="175"/>
      <c r="I112" s="175"/>
      <c r="J112" s="175"/>
      <c r="K112" s="175"/>
      <c r="L112" s="175"/>
      <c r="M112" s="175"/>
      <c r="N112" s="175"/>
      <c r="O112" s="175"/>
      <c r="P112" s="175"/>
      <c r="Q112" s="534"/>
      <c r="R112" s="535"/>
      <c r="S112" s="535"/>
      <c r="T112" s="535"/>
      <c r="U112" s="535"/>
      <c r="V112" s="535"/>
    </row>
    <row r="113" spans="1:22" ht="15" customHeight="1">
      <c r="A113" s="327"/>
      <c r="B113" s="323"/>
      <c r="C113" s="175"/>
      <c r="D113" s="175"/>
      <c r="E113" s="175"/>
      <c r="F113" s="175"/>
      <c r="G113" s="175"/>
      <c r="H113" s="175"/>
      <c r="I113" s="175"/>
      <c r="J113" s="175"/>
      <c r="K113" s="175"/>
      <c r="L113" s="175"/>
      <c r="M113" s="175"/>
      <c r="N113" s="175"/>
      <c r="O113" s="175"/>
      <c r="P113" s="175"/>
      <c r="Q113" s="534"/>
      <c r="R113" s="535"/>
      <c r="S113" s="535"/>
      <c r="T113" s="535"/>
      <c r="U113" s="535"/>
      <c r="V113" s="535"/>
    </row>
    <row r="114" spans="1:22" ht="15" customHeight="1">
      <c r="A114" s="327"/>
      <c r="B114" s="323"/>
      <c r="C114" s="175"/>
      <c r="D114" s="175"/>
      <c r="E114" s="175"/>
      <c r="F114" s="175"/>
      <c r="G114" s="175"/>
      <c r="H114" s="175"/>
      <c r="I114" s="175"/>
      <c r="J114" s="175"/>
      <c r="K114" s="175"/>
      <c r="L114" s="175"/>
      <c r="M114" s="175"/>
      <c r="N114" s="175"/>
      <c r="O114" s="175"/>
      <c r="P114" s="175"/>
      <c r="Q114" s="534"/>
      <c r="R114" s="535"/>
      <c r="S114" s="535"/>
      <c r="T114" s="535"/>
      <c r="U114" s="535"/>
      <c r="V114" s="535"/>
    </row>
    <row r="115" spans="1:22" ht="15" customHeight="1">
      <c r="A115" s="327"/>
      <c r="B115" s="323"/>
      <c r="C115" s="175"/>
      <c r="D115" s="175"/>
      <c r="E115" s="175"/>
      <c r="F115" s="175"/>
      <c r="G115" s="175"/>
      <c r="H115" s="175"/>
      <c r="I115" s="175"/>
      <c r="J115" s="175"/>
      <c r="K115" s="175"/>
      <c r="L115" s="175"/>
      <c r="M115" s="175"/>
      <c r="N115" s="175"/>
      <c r="O115" s="175"/>
      <c r="P115" s="175"/>
      <c r="Q115" s="534"/>
      <c r="R115" s="535"/>
      <c r="S115" s="535"/>
      <c r="T115" s="535"/>
      <c r="U115" s="535"/>
      <c r="V115" s="535"/>
    </row>
    <row r="116" spans="1:22" ht="15" customHeight="1">
      <c r="A116" s="327"/>
      <c r="B116" s="323"/>
      <c r="C116" s="175"/>
      <c r="D116" s="175"/>
      <c r="E116" s="175"/>
      <c r="F116" s="175"/>
      <c r="G116" s="175"/>
      <c r="H116" s="175"/>
      <c r="I116" s="175"/>
      <c r="J116" s="175"/>
      <c r="K116" s="175"/>
      <c r="L116" s="175"/>
      <c r="M116" s="175"/>
      <c r="N116" s="175"/>
      <c r="O116" s="175"/>
      <c r="P116" s="175"/>
      <c r="Q116" s="534"/>
      <c r="R116" s="535"/>
      <c r="S116" s="535"/>
      <c r="T116" s="535"/>
      <c r="U116" s="535"/>
      <c r="V116" s="535"/>
    </row>
    <row r="117" spans="1:22" ht="15" customHeight="1">
      <c r="A117" s="327"/>
      <c r="B117" s="323"/>
      <c r="C117" s="175"/>
      <c r="D117" s="175"/>
      <c r="E117" s="175"/>
      <c r="F117" s="175"/>
      <c r="G117" s="175"/>
      <c r="H117" s="175"/>
      <c r="I117" s="175"/>
      <c r="J117" s="175"/>
      <c r="K117" s="175"/>
      <c r="L117" s="175"/>
      <c r="M117" s="175"/>
      <c r="N117" s="175"/>
      <c r="O117" s="175"/>
      <c r="P117" s="175"/>
      <c r="Q117" s="534"/>
      <c r="R117" s="535"/>
      <c r="S117" s="535"/>
      <c r="T117" s="535"/>
      <c r="U117" s="535"/>
      <c r="V117" s="535"/>
    </row>
    <row r="118" spans="1:22" ht="15" customHeight="1">
      <c r="A118" s="327"/>
      <c r="B118" s="323"/>
      <c r="C118" s="175"/>
      <c r="D118" s="175"/>
      <c r="E118" s="175"/>
      <c r="F118" s="175"/>
      <c r="G118" s="175"/>
      <c r="H118" s="175"/>
      <c r="I118" s="175"/>
      <c r="J118" s="175"/>
      <c r="K118" s="175"/>
      <c r="L118" s="175"/>
      <c r="M118" s="175"/>
      <c r="N118" s="175"/>
      <c r="O118" s="175"/>
      <c r="P118" s="175"/>
      <c r="Q118" s="534"/>
      <c r="R118" s="535"/>
      <c r="S118" s="535"/>
      <c r="T118" s="535"/>
      <c r="U118" s="535"/>
      <c r="V118" s="535"/>
    </row>
    <row r="119" spans="1:22" ht="15" customHeight="1">
      <c r="A119" s="327"/>
      <c r="B119" s="323"/>
      <c r="C119" s="175"/>
      <c r="D119" s="175"/>
      <c r="E119" s="175"/>
      <c r="F119" s="175"/>
      <c r="G119" s="175"/>
      <c r="H119" s="175"/>
      <c r="I119" s="175"/>
      <c r="J119" s="175"/>
      <c r="K119" s="175"/>
      <c r="L119" s="175"/>
      <c r="M119" s="175"/>
      <c r="N119" s="175"/>
      <c r="O119" s="175"/>
      <c r="P119" s="175"/>
      <c r="Q119" s="534"/>
      <c r="R119" s="535"/>
      <c r="S119" s="535"/>
      <c r="T119" s="535"/>
      <c r="U119" s="535"/>
      <c r="V119" s="535"/>
    </row>
    <row r="120" spans="1:22" ht="15" customHeight="1">
      <c r="A120" s="327"/>
      <c r="B120" s="323"/>
      <c r="C120" s="175"/>
      <c r="D120" s="175"/>
      <c r="E120" s="175"/>
      <c r="F120" s="175"/>
      <c r="G120" s="175"/>
      <c r="H120" s="175"/>
      <c r="I120" s="175"/>
      <c r="J120" s="175"/>
      <c r="K120" s="175"/>
      <c r="L120" s="175"/>
      <c r="M120" s="175"/>
      <c r="N120" s="175"/>
      <c r="O120" s="175"/>
      <c r="P120" s="175"/>
      <c r="Q120" s="534"/>
      <c r="R120" s="535"/>
      <c r="S120" s="535"/>
      <c r="T120" s="535"/>
      <c r="U120" s="535"/>
      <c r="V120" s="535"/>
    </row>
    <row r="121" spans="1:22" ht="15" customHeight="1">
      <c r="A121" s="327"/>
      <c r="B121" s="323"/>
      <c r="C121" s="175"/>
      <c r="D121" s="175"/>
      <c r="E121" s="175"/>
      <c r="F121" s="175"/>
      <c r="G121" s="175"/>
      <c r="H121" s="175"/>
      <c r="I121" s="175"/>
      <c r="J121" s="175"/>
      <c r="K121" s="175"/>
      <c r="L121" s="175"/>
      <c r="M121" s="175"/>
      <c r="N121" s="175"/>
      <c r="O121" s="175"/>
      <c r="P121" s="175"/>
      <c r="Q121" s="534"/>
      <c r="R121" s="535"/>
      <c r="S121" s="535"/>
      <c r="T121" s="535"/>
      <c r="U121" s="535"/>
      <c r="V121" s="535"/>
    </row>
    <row r="122" spans="1:22" ht="15" customHeight="1">
      <c r="A122" s="327"/>
      <c r="B122" s="323"/>
      <c r="C122" s="175"/>
      <c r="D122" s="175"/>
      <c r="E122" s="175"/>
      <c r="F122" s="175"/>
      <c r="G122" s="175"/>
      <c r="H122" s="175"/>
      <c r="I122" s="175"/>
      <c r="J122" s="175"/>
      <c r="K122" s="175"/>
      <c r="L122" s="175"/>
      <c r="M122" s="175"/>
      <c r="N122" s="175"/>
      <c r="O122" s="175"/>
      <c r="P122" s="175"/>
      <c r="Q122" s="534"/>
      <c r="R122" s="535"/>
      <c r="S122" s="535"/>
      <c r="T122" s="535"/>
      <c r="U122" s="535"/>
      <c r="V122" s="535"/>
    </row>
    <row r="123" spans="1:22" ht="15" customHeight="1">
      <c r="A123" s="327"/>
      <c r="B123" s="323"/>
      <c r="C123" s="175"/>
      <c r="D123" s="175"/>
      <c r="E123" s="175"/>
      <c r="F123" s="175"/>
      <c r="G123" s="175"/>
      <c r="H123" s="175"/>
      <c r="I123" s="175"/>
      <c r="J123" s="175"/>
      <c r="K123" s="175"/>
      <c r="L123" s="175"/>
      <c r="M123" s="175"/>
      <c r="N123" s="175"/>
      <c r="O123" s="175"/>
      <c r="P123" s="175"/>
      <c r="Q123" s="534"/>
      <c r="R123" s="535"/>
      <c r="S123" s="535"/>
      <c r="T123" s="535"/>
      <c r="U123" s="535"/>
      <c r="V123" s="535"/>
    </row>
    <row r="124" spans="1:22" ht="15" customHeight="1">
      <c r="A124" s="327"/>
      <c r="B124" s="323"/>
      <c r="C124" s="175"/>
      <c r="D124" s="175"/>
      <c r="E124" s="175"/>
      <c r="F124" s="175"/>
      <c r="G124" s="175"/>
      <c r="H124" s="175"/>
      <c r="I124" s="175"/>
      <c r="J124" s="175"/>
      <c r="K124" s="175"/>
      <c r="L124" s="175"/>
      <c r="M124" s="175"/>
      <c r="N124" s="175"/>
      <c r="O124" s="175"/>
      <c r="P124" s="175"/>
      <c r="Q124" s="534"/>
      <c r="R124" s="535"/>
      <c r="S124" s="535"/>
      <c r="T124" s="535"/>
      <c r="U124" s="535"/>
      <c r="V124" s="535"/>
    </row>
    <row r="125" spans="1:22" ht="15" customHeight="1">
      <c r="A125" s="327"/>
      <c r="B125" s="323"/>
      <c r="C125" s="175"/>
      <c r="D125" s="175"/>
      <c r="E125" s="175"/>
      <c r="F125" s="175"/>
      <c r="G125" s="175"/>
      <c r="H125" s="175"/>
      <c r="I125" s="175"/>
      <c r="J125" s="175"/>
      <c r="K125" s="175"/>
      <c r="L125" s="175"/>
      <c r="M125" s="175"/>
      <c r="N125" s="175"/>
      <c r="O125" s="175"/>
      <c r="P125" s="175"/>
      <c r="Q125" s="534"/>
      <c r="R125" s="535"/>
      <c r="S125" s="535"/>
      <c r="T125" s="535"/>
      <c r="U125" s="535"/>
      <c r="V125" s="535"/>
    </row>
    <row r="126" spans="1:22" ht="15" customHeight="1">
      <c r="A126" s="327"/>
      <c r="B126" s="323"/>
      <c r="C126" s="175"/>
      <c r="D126" s="175"/>
      <c r="E126" s="175"/>
      <c r="F126" s="175"/>
      <c r="G126" s="175"/>
      <c r="H126" s="175"/>
      <c r="I126" s="175"/>
      <c r="J126" s="175"/>
      <c r="K126" s="175"/>
      <c r="L126" s="175"/>
      <c r="M126" s="175"/>
      <c r="N126" s="175"/>
      <c r="O126" s="175"/>
      <c r="P126" s="175"/>
      <c r="Q126" s="534"/>
      <c r="R126" s="535"/>
      <c r="S126" s="535"/>
      <c r="T126" s="535"/>
      <c r="U126" s="535"/>
      <c r="V126" s="535"/>
    </row>
    <row r="127" spans="1:22" ht="15" customHeight="1">
      <c r="A127" s="327"/>
      <c r="B127" s="323"/>
      <c r="C127" s="175"/>
      <c r="D127" s="175"/>
      <c r="E127" s="175"/>
      <c r="F127" s="175"/>
      <c r="G127" s="175"/>
      <c r="H127" s="175"/>
      <c r="I127" s="175"/>
      <c r="J127" s="175"/>
      <c r="K127" s="175"/>
      <c r="L127" s="175"/>
      <c r="M127" s="175"/>
      <c r="N127" s="175"/>
      <c r="O127" s="175"/>
      <c r="P127" s="175"/>
      <c r="Q127" s="534"/>
      <c r="R127" s="535"/>
      <c r="S127" s="535"/>
      <c r="T127" s="535"/>
      <c r="U127" s="535"/>
      <c r="V127" s="535"/>
    </row>
    <row r="128" spans="1:22" ht="15" customHeight="1">
      <c r="A128" s="327"/>
      <c r="B128" s="323"/>
      <c r="C128" s="175"/>
      <c r="D128" s="175"/>
      <c r="E128" s="175"/>
      <c r="F128" s="175"/>
      <c r="G128" s="175"/>
      <c r="H128" s="175"/>
      <c r="I128" s="175"/>
      <c r="J128" s="175"/>
      <c r="K128" s="175"/>
      <c r="L128" s="175"/>
      <c r="M128" s="175"/>
      <c r="N128" s="175"/>
      <c r="O128" s="175"/>
      <c r="P128" s="175"/>
      <c r="Q128" s="534"/>
      <c r="R128" s="535"/>
      <c r="S128" s="535"/>
      <c r="T128" s="535"/>
      <c r="U128" s="535"/>
      <c r="V128" s="535"/>
    </row>
    <row r="129" spans="1:22" ht="15" customHeight="1">
      <c r="A129" s="327"/>
      <c r="B129" s="323"/>
      <c r="C129" s="175"/>
      <c r="D129" s="175"/>
      <c r="E129" s="175"/>
      <c r="F129" s="175"/>
      <c r="G129" s="175"/>
      <c r="H129" s="175"/>
      <c r="I129" s="175"/>
      <c r="J129" s="175"/>
      <c r="K129" s="175"/>
      <c r="L129" s="175"/>
      <c r="M129" s="175"/>
      <c r="N129" s="175"/>
      <c r="O129" s="175"/>
      <c r="P129" s="175"/>
      <c r="Q129" s="534"/>
      <c r="R129" s="535"/>
      <c r="S129" s="535"/>
      <c r="T129" s="535"/>
      <c r="U129" s="535"/>
      <c r="V129" s="535"/>
    </row>
    <row r="130" spans="1:22" ht="15" customHeight="1">
      <c r="A130" s="327"/>
      <c r="B130" s="323"/>
      <c r="C130" s="175"/>
      <c r="D130" s="175"/>
      <c r="E130" s="175"/>
      <c r="F130" s="175"/>
      <c r="G130" s="175"/>
      <c r="H130" s="175"/>
      <c r="I130" s="175"/>
      <c r="J130" s="175"/>
      <c r="K130" s="175"/>
      <c r="L130" s="175"/>
      <c r="M130" s="175"/>
      <c r="N130" s="175"/>
      <c r="O130" s="175"/>
      <c r="P130" s="175"/>
      <c r="Q130" s="534"/>
      <c r="R130" s="535"/>
      <c r="S130" s="535"/>
      <c r="T130" s="535"/>
      <c r="U130" s="535"/>
      <c r="V130" s="535"/>
    </row>
    <row r="131" spans="1:22" ht="15" customHeight="1">
      <c r="A131" s="327"/>
      <c r="B131" s="323"/>
      <c r="C131" s="175"/>
      <c r="D131" s="175"/>
      <c r="E131" s="175"/>
      <c r="F131" s="175"/>
      <c r="G131" s="175"/>
      <c r="H131" s="175"/>
      <c r="I131" s="175"/>
      <c r="J131" s="175"/>
      <c r="K131" s="175"/>
      <c r="L131" s="175"/>
      <c r="M131" s="175"/>
      <c r="N131" s="175"/>
      <c r="O131" s="175"/>
      <c r="P131" s="175"/>
      <c r="Q131" s="534"/>
      <c r="R131" s="535"/>
      <c r="S131" s="535"/>
      <c r="T131" s="535"/>
      <c r="U131" s="535"/>
      <c r="V131" s="535"/>
    </row>
    <row r="132" spans="1:22" ht="15" customHeight="1">
      <c r="A132" s="327"/>
      <c r="B132" s="323"/>
      <c r="C132" s="175"/>
      <c r="D132" s="175"/>
      <c r="E132" s="175"/>
      <c r="F132" s="175"/>
      <c r="G132" s="175"/>
      <c r="H132" s="175"/>
      <c r="I132" s="175"/>
      <c r="J132" s="175"/>
      <c r="K132" s="175"/>
      <c r="L132" s="175"/>
      <c r="M132" s="175"/>
      <c r="N132" s="175"/>
      <c r="O132" s="175"/>
      <c r="P132" s="175"/>
      <c r="Q132" s="534"/>
      <c r="R132" s="535"/>
      <c r="S132" s="535"/>
      <c r="T132" s="535"/>
      <c r="U132" s="535"/>
      <c r="V132" s="535"/>
    </row>
    <row r="133" spans="1:22" ht="15" customHeight="1">
      <c r="A133" s="327"/>
      <c r="B133" s="323"/>
      <c r="C133" s="175"/>
      <c r="D133" s="175"/>
      <c r="E133" s="175"/>
      <c r="F133" s="175"/>
      <c r="G133" s="175"/>
      <c r="H133" s="175"/>
      <c r="I133" s="175"/>
      <c r="J133" s="175"/>
      <c r="K133" s="175"/>
      <c r="L133" s="175"/>
      <c r="M133" s="175"/>
      <c r="N133" s="175"/>
      <c r="O133" s="175"/>
      <c r="P133" s="175"/>
      <c r="Q133" s="534"/>
      <c r="R133" s="535"/>
      <c r="S133" s="535"/>
      <c r="T133" s="535"/>
      <c r="U133" s="535"/>
      <c r="V133" s="535"/>
    </row>
    <row r="134" spans="1:22" ht="15" customHeight="1">
      <c r="A134" s="327"/>
      <c r="B134" s="323"/>
      <c r="C134" s="175"/>
      <c r="D134" s="175"/>
      <c r="E134" s="175"/>
      <c r="F134" s="175"/>
      <c r="G134" s="175"/>
      <c r="H134" s="175"/>
      <c r="I134" s="175"/>
      <c r="J134" s="175"/>
      <c r="K134" s="175"/>
      <c r="L134" s="175"/>
      <c r="M134" s="175"/>
      <c r="N134" s="175"/>
      <c r="O134" s="175"/>
      <c r="P134" s="175"/>
      <c r="Q134" s="534"/>
      <c r="R134" s="535"/>
      <c r="S134" s="535"/>
      <c r="T134" s="535"/>
      <c r="U134" s="535"/>
      <c r="V134" s="535"/>
    </row>
    <row r="135" spans="1:22" ht="15" customHeight="1">
      <c r="A135" s="327"/>
      <c r="B135" s="323"/>
      <c r="C135" s="175"/>
      <c r="D135" s="175"/>
      <c r="E135" s="175"/>
      <c r="F135" s="175"/>
      <c r="G135" s="175"/>
      <c r="H135" s="175"/>
      <c r="I135" s="175"/>
      <c r="J135" s="175"/>
      <c r="K135" s="175"/>
      <c r="L135" s="175"/>
      <c r="M135" s="175"/>
      <c r="N135" s="175"/>
      <c r="O135" s="175"/>
      <c r="P135" s="175"/>
      <c r="Q135" s="534"/>
      <c r="R135" s="535"/>
      <c r="S135" s="535"/>
      <c r="T135" s="535"/>
      <c r="U135" s="535"/>
      <c r="V135" s="535"/>
    </row>
    <row r="136" spans="1:22" ht="15" customHeight="1">
      <c r="A136" s="327"/>
      <c r="B136" s="323"/>
      <c r="C136" s="175"/>
      <c r="D136" s="175"/>
      <c r="E136" s="175"/>
      <c r="F136" s="175"/>
      <c r="G136" s="175"/>
      <c r="H136" s="175"/>
      <c r="I136" s="175"/>
      <c r="J136" s="175"/>
      <c r="K136" s="175"/>
      <c r="L136" s="175"/>
      <c r="M136" s="175"/>
      <c r="N136" s="175"/>
      <c r="O136" s="175"/>
      <c r="P136" s="175"/>
      <c r="Q136" s="534"/>
      <c r="R136" s="535"/>
      <c r="S136" s="535"/>
      <c r="T136" s="535"/>
      <c r="U136" s="535"/>
      <c r="V136" s="535"/>
    </row>
    <row r="137" spans="1:22" ht="15" customHeight="1">
      <c r="A137" s="327"/>
      <c r="B137" s="323"/>
      <c r="C137" s="175"/>
      <c r="D137" s="175"/>
      <c r="E137" s="175"/>
      <c r="F137" s="175"/>
      <c r="G137" s="175"/>
      <c r="H137" s="175"/>
      <c r="I137" s="175"/>
      <c r="J137" s="175"/>
      <c r="K137" s="175"/>
      <c r="L137" s="175"/>
      <c r="M137" s="175"/>
      <c r="N137" s="175"/>
      <c r="O137" s="175"/>
      <c r="P137" s="175"/>
      <c r="Q137" s="534"/>
      <c r="R137" s="535"/>
      <c r="S137" s="535"/>
      <c r="T137" s="535"/>
      <c r="U137" s="535"/>
      <c r="V137" s="535"/>
    </row>
    <row r="138" spans="1:22" ht="15" customHeight="1">
      <c r="A138" s="327"/>
      <c r="B138" s="323"/>
      <c r="C138" s="175"/>
      <c r="D138" s="175"/>
      <c r="E138" s="175"/>
      <c r="F138" s="175"/>
      <c r="G138" s="175"/>
      <c r="H138" s="175"/>
      <c r="I138" s="175"/>
      <c r="J138" s="175"/>
      <c r="K138" s="175"/>
      <c r="L138" s="175"/>
      <c r="M138" s="175"/>
      <c r="N138" s="175"/>
      <c r="O138" s="175"/>
      <c r="P138" s="175"/>
      <c r="Q138" s="534"/>
      <c r="R138" s="535"/>
      <c r="S138" s="535"/>
      <c r="T138" s="535"/>
      <c r="U138" s="535"/>
      <c r="V138" s="535"/>
    </row>
    <row r="139" spans="1:22" ht="15" customHeight="1">
      <c r="A139" s="327"/>
      <c r="B139" s="323"/>
      <c r="C139" s="175"/>
      <c r="D139" s="175"/>
      <c r="E139" s="175"/>
      <c r="F139" s="175"/>
      <c r="G139" s="175"/>
      <c r="H139" s="175"/>
      <c r="I139" s="175"/>
      <c r="J139" s="175"/>
      <c r="K139" s="175"/>
      <c r="L139" s="175"/>
      <c r="M139" s="175"/>
      <c r="N139" s="175"/>
      <c r="O139" s="175"/>
      <c r="P139" s="175"/>
      <c r="Q139" s="534"/>
      <c r="R139" s="535"/>
      <c r="S139" s="535"/>
      <c r="T139" s="535"/>
      <c r="U139" s="535"/>
      <c r="V139" s="535"/>
    </row>
    <row r="140" spans="1:22" ht="15" customHeight="1">
      <c r="A140" s="327"/>
      <c r="B140" s="323"/>
      <c r="C140" s="175"/>
      <c r="D140" s="175"/>
      <c r="E140" s="175"/>
      <c r="F140" s="175"/>
      <c r="G140" s="175"/>
      <c r="H140" s="175"/>
      <c r="I140" s="175"/>
      <c r="J140" s="175"/>
      <c r="K140" s="175"/>
      <c r="L140" s="175"/>
      <c r="M140" s="175"/>
      <c r="N140" s="175"/>
      <c r="O140" s="175"/>
      <c r="P140" s="175"/>
      <c r="Q140" s="534"/>
      <c r="R140" s="535"/>
      <c r="S140" s="535"/>
      <c r="T140" s="535"/>
      <c r="U140" s="535"/>
      <c r="V140" s="535"/>
    </row>
    <row r="141" spans="1:22" ht="15" customHeight="1">
      <c r="A141" s="327"/>
      <c r="B141" s="323"/>
      <c r="C141" s="175"/>
      <c r="D141" s="175"/>
      <c r="E141" s="175"/>
      <c r="F141" s="175"/>
      <c r="G141" s="175"/>
      <c r="H141" s="175"/>
      <c r="I141" s="175"/>
      <c r="J141" s="175"/>
      <c r="K141" s="175"/>
      <c r="L141" s="175"/>
      <c r="M141" s="175"/>
      <c r="N141" s="175"/>
      <c r="O141" s="175"/>
      <c r="P141" s="175"/>
      <c r="Q141" s="534"/>
      <c r="R141" s="535"/>
      <c r="S141" s="535"/>
      <c r="T141" s="535"/>
      <c r="U141" s="535"/>
      <c r="V141" s="535"/>
    </row>
    <row r="142" spans="1:22" ht="15" customHeight="1">
      <c r="A142" s="327"/>
      <c r="B142" s="323"/>
      <c r="C142" s="175"/>
      <c r="D142" s="175"/>
      <c r="E142" s="175"/>
      <c r="F142" s="175"/>
      <c r="G142" s="175"/>
      <c r="H142" s="175"/>
      <c r="I142" s="175"/>
      <c r="J142" s="175"/>
      <c r="K142" s="175"/>
      <c r="L142" s="175"/>
      <c r="M142" s="175"/>
      <c r="N142" s="175"/>
      <c r="O142" s="175"/>
      <c r="P142" s="175"/>
      <c r="Q142" s="534"/>
      <c r="R142" s="535"/>
      <c r="S142" s="535"/>
      <c r="T142" s="535"/>
      <c r="U142" s="535"/>
      <c r="V142" s="535"/>
    </row>
    <row r="143" spans="1:22" ht="15" customHeight="1">
      <c r="A143" s="327"/>
      <c r="B143" s="323"/>
      <c r="C143" s="175"/>
      <c r="D143" s="175"/>
      <c r="E143" s="175"/>
      <c r="F143" s="175"/>
      <c r="G143" s="175"/>
      <c r="H143" s="175"/>
      <c r="I143" s="175"/>
      <c r="J143" s="175"/>
      <c r="K143" s="175"/>
      <c r="L143" s="175"/>
      <c r="M143" s="175"/>
      <c r="N143" s="175"/>
      <c r="O143" s="175"/>
      <c r="P143" s="175"/>
      <c r="Q143" s="534"/>
      <c r="R143" s="535"/>
      <c r="S143" s="535"/>
      <c r="T143" s="535"/>
      <c r="U143" s="535"/>
      <c r="V143" s="535"/>
    </row>
    <row r="144" spans="1:22" ht="15" customHeight="1">
      <c r="A144" s="327"/>
      <c r="B144" s="323"/>
      <c r="C144" s="175"/>
      <c r="D144" s="175"/>
      <c r="E144" s="175"/>
      <c r="F144" s="175"/>
      <c r="G144" s="175"/>
      <c r="H144" s="175"/>
      <c r="I144" s="175"/>
      <c r="J144" s="175"/>
      <c r="K144" s="175"/>
      <c r="L144" s="175"/>
      <c r="M144" s="175"/>
      <c r="N144" s="175"/>
      <c r="O144" s="175"/>
      <c r="P144" s="175"/>
      <c r="Q144" s="534"/>
      <c r="R144" s="535"/>
      <c r="S144" s="535"/>
      <c r="T144" s="535"/>
      <c r="U144" s="535"/>
      <c r="V144" s="535"/>
    </row>
    <row r="145" spans="1:22" ht="15" customHeight="1">
      <c r="A145" s="327"/>
      <c r="B145" s="323"/>
      <c r="C145" s="175"/>
      <c r="D145" s="175"/>
      <c r="E145" s="175"/>
      <c r="F145" s="175"/>
      <c r="G145" s="175"/>
      <c r="H145" s="175"/>
      <c r="I145" s="175"/>
      <c r="J145" s="175"/>
      <c r="K145" s="175"/>
      <c r="L145" s="175"/>
      <c r="M145" s="175"/>
      <c r="N145" s="175"/>
      <c r="O145" s="175"/>
      <c r="P145" s="175"/>
      <c r="Q145" s="534"/>
      <c r="R145" s="535"/>
      <c r="S145" s="535"/>
      <c r="T145" s="535"/>
      <c r="U145" s="535"/>
      <c r="V145" s="535"/>
    </row>
    <row r="146" spans="1:22" ht="15" customHeight="1">
      <c r="A146" s="327"/>
      <c r="B146" s="323"/>
      <c r="C146" s="175"/>
      <c r="D146" s="175"/>
      <c r="E146" s="175"/>
      <c r="F146" s="175"/>
      <c r="G146" s="175"/>
      <c r="H146" s="175"/>
      <c r="I146" s="175"/>
      <c r="J146" s="175"/>
      <c r="K146" s="175"/>
      <c r="L146" s="175"/>
      <c r="M146" s="175"/>
      <c r="N146" s="175"/>
      <c r="O146" s="175"/>
      <c r="P146" s="175"/>
      <c r="Q146" s="534"/>
      <c r="R146" s="535"/>
      <c r="S146" s="535"/>
      <c r="T146" s="535"/>
      <c r="U146" s="535"/>
      <c r="V146" s="535"/>
    </row>
    <row r="147" spans="1:22" ht="15" customHeight="1">
      <c r="A147" s="327"/>
      <c r="B147" s="323"/>
      <c r="C147" s="175"/>
      <c r="D147" s="175"/>
      <c r="E147" s="175"/>
      <c r="F147" s="175"/>
      <c r="G147" s="175"/>
      <c r="H147" s="175"/>
      <c r="I147" s="175"/>
      <c r="J147" s="175"/>
      <c r="K147" s="175"/>
      <c r="L147" s="175"/>
      <c r="M147" s="175"/>
      <c r="N147" s="175"/>
      <c r="O147" s="175"/>
      <c r="P147" s="175"/>
      <c r="Q147" s="534"/>
      <c r="R147" s="535"/>
      <c r="S147" s="535"/>
      <c r="T147" s="535"/>
      <c r="U147" s="535"/>
      <c r="V147" s="535"/>
    </row>
    <row r="148" spans="1:22" ht="15" customHeight="1">
      <c r="A148" s="327"/>
      <c r="B148" s="323"/>
      <c r="C148" s="175"/>
      <c r="D148" s="175"/>
      <c r="E148" s="175"/>
      <c r="F148" s="175"/>
      <c r="G148" s="175"/>
      <c r="H148" s="175"/>
      <c r="I148" s="175"/>
      <c r="J148" s="175"/>
      <c r="K148" s="175"/>
      <c r="L148" s="175"/>
      <c r="M148" s="175"/>
      <c r="N148" s="175"/>
      <c r="O148" s="175"/>
      <c r="P148" s="175"/>
      <c r="Q148" s="534"/>
      <c r="R148" s="535"/>
      <c r="S148" s="535"/>
      <c r="T148" s="535"/>
      <c r="U148" s="535"/>
      <c r="V148" s="535"/>
    </row>
    <row r="149" spans="1:22" ht="15" customHeight="1">
      <c r="A149" s="327"/>
      <c r="B149" s="323"/>
      <c r="C149" s="175"/>
      <c r="D149" s="175"/>
      <c r="E149" s="175"/>
      <c r="F149" s="175"/>
      <c r="G149" s="175"/>
      <c r="H149" s="175"/>
      <c r="I149" s="175"/>
      <c r="J149" s="175"/>
      <c r="K149" s="175"/>
      <c r="L149" s="175"/>
      <c r="M149" s="175"/>
      <c r="N149" s="175"/>
      <c r="O149" s="175"/>
      <c r="P149" s="175"/>
      <c r="Q149" s="534"/>
      <c r="R149" s="535"/>
      <c r="S149" s="535"/>
      <c r="T149" s="535"/>
      <c r="U149" s="535"/>
      <c r="V149" s="535"/>
    </row>
    <row r="150" spans="1:22" ht="15" customHeight="1">
      <c r="A150" s="327"/>
      <c r="B150" s="323"/>
      <c r="C150" s="175"/>
      <c r="D150" s="175"/>
      <c r="E150" s="175"/>
      <c r="F150" s="175"/>
      <c r="G150" s="175"/>
      <c r="H150" s="175"/>
      <c r="I150" s="175"/>
      <c r="J150" s="175"/>
      <c r="K150" s="175"/>
      <c r="L150" s="175"/>
      <c r="M150" s="175"/>
      <c r="N150" s="175"/>
      <c r="O150" s="175"/>
      <c r="P150" s="175"/>
      <c r="Q150" s="534"/>
      <c r="R150" s="535"/>
      <c r="S150" s="535"/>
      <c r="T150" s="535"/>
      <c r="U150" s="535"/>
      <c r="V150" s="535"/>
    </row>
    <row r="151" spans="1:22" ht="15" customHeight="1">
      <c r="A151" s="327"/>
      <c r="B151" s="323"/>
      <c r="C151" s="175"/>
      <c r="D151" s="175"/>
      <c r="E151" s="175"/>
      <c r="F151" s="175"/>
      <c r="G151" s="175"/>
      <c r="H151" s="175"/>
      <c r="I151" s="175"/>
      <c r="J151" s="175"/>
      <c r="K151" s="175"/>
      <c r="L151" s="175"/>
      <c r="M151" s="175"/>
      <c r="N151" s="175"/>
      <c r="O151" s="175"/>
      <c r="P151" s="175"/>
      <c r="Q151" s="534"/>
      <c r="R151" s="535"/>
      <c r="S151" s="535"/>
      <c r="T151" s="535"/>
      <c r="U151" s="535"/>
      <c r="V151" s="535"/>
    </row>
    <row r="152" spans="1:22" ht="15" customHeight="1">
      <c r="A152" s="327"/>
      <c r="B152" s="323"/>
      <c r="C152" s="175"/>
      <c r="D152" s="175"/>
      <c r="E152" s="175"/>
      <c r="F152" s="175"/>
      <c r="G152" s="175"/>
      <c r="H152" s="175"/>
      <c r="I152" s="175"/>
      <c r="J152" s="175"/>
      <c r="K152" s="175"/>
      <c r="L152" s="175"/>
      <c r="M152" s="175"/>
      <c r="N152" s="175"/>
      <c r="O152" s="175"/>
      <c r="P152" s="175"/>
      <c r="Q152" s="534"/>
      <c r="R152" s="535"/>
      <c r="S152" s="535"/>
      <c r="T152" s="535"/>
      <c r="U152" s="535"/>
      <c r="V152" s="535"/>
    </row>
    <row r="153" spans="1:22" ht="15" customHeight="1">
      <c r="A153" s="327"/>
      <c r="B153" s="323"/>
      <c r="C153" s="175"/>
      <c r="D153" s="175"/>
      <c r="E153" s="175"/>
      <c r="F153" s="175"/>
      <c r="G153" s="175"/>
      <c r="H153" s="175"/>
      <c r="I153" s="175"/>
      <c r="J153" s="175"/>
      <c r="K153" s="175"/>
      <c r="L153" s="175"/>
      <c r="M153" s="175"/>
      <c r="N153" s="175"/>
      <c r="O153" s="175"/>
      <c r="P153" s="175"/>
      <c r="Q153" s="534"/>
      <c r="R153" s="535"/>
      <c r="S153" s="535"/>
      <c r="T153" s="535"/>
      <c r="U153" s="535"/>
      <c r="V153" s="535"/>
    </row>
    <row r="154" spans="1:22" ht="15" customHeight="1">
      <c r="A154" s="327"/>
      <c r="B154" s="323"/>
      <c r="C154" s="175"/>
      <c r="D154" s="175"/>
      <c r="E154" s="175"/>
      <c r="F154" s="175"/>
      <c r="G154" s="175"/>
      <c r="H154" s="175"/>
      <c r="I154" s="175"/>
      <c r="J154" s="175"/>
      <c r="K154" s="175"/>
      <c r="L154" s="175"/>
      <c r="M154" s="175"/>
      <c r="N154" s="175"/>
      <c r="O154" s="175"/>
      <c r="P154" s="175"/>
      <c r="Q154" s="534"/>
      <c r="R154" s="535"/>
      <c r="S154" s="535"/>
      <c r="T154" s="535"/>
      <c r="U154" s="535"/>
      <c r="V154" s="535"/>
    </row>
    <row r="155" spans="1:22" ht="15" customHeight="1">
      <c r="A155" s="327"/>
      <c r="B155" s="323"/>
      <c r="C155" s="175"/>
      <c r="D155" s="175"/>
      <c r="E155" s="175"/>
      <c r="F155" s="175"/>
      <c r="G155" s="175"/>
      <c r="H155" s="175"/>
      <c r="I155" s="175"/>
      <c r="J155" s="175"/>
      <c r="K155" s="175"/>
      <c r="L155" s="175"/>
      <c r="M155" s="175"/>
      <c r="N155" s="175"/>
      <c r="O155" s="175"/>
      <c r="P155" s="175"/>
      <c r="Q155" s="534"/>
      <c r="R155" s="535"/>
      <c r="S155" s="535"/>
      <c r="T155" s="535"/>
      <c r="U155" s="535"/>
      <c r="V155" s="535"/>
    </row>
    <row r="156" spans="1:22" ht="15" customHeight="1">
      <c r="A156" s="327"/>
      <c r="B156" s="323"/>
      <c r="C156" s="175"/>
      <c r="D156" s="175"/>
      <c r="E156" s="175"/>
      <c r="F156" s="175"/>
      <c r="G156" s="175"/>
      <c r="H156" s="175"/>
      <c r="I156" s="175"/>
      <c r="J156" s="175"/>
      <c r="K156" s="175"/>
      <c r="L156" s="175"/>
      <c r="M156" s="175"/>
      <c r="N156" s="175"/>
      <c r="O156" s="175"/>
      <c r="P156" s="175"/>
      <c r="Q156" s="534"/>
      <c r="R156" s="535"/>
      <c r="S156" s="535"/>
      <c r="T156" s="535"/>
      <c r="U156" s="535"/>
      <c r="V156" s="535"/>
    </row>
    <row r="157" spans="1:22" ht="15" customHeight="1">
      <c r="A157" s="327"/>
      <c r="B157" s="323"/>
      <c r="C157" s="175"/>
      <c r="D157" s="175"/>
      <c r="E157" s="175"/>
      <c r="F157" s="175"/>
      <c r="G157" s="175"/>
      <c r="H157" s="175"/>
      <c r="I157" s="175"/>
      <c r="J157" s="175"/>
      <c r="K157" s="175"/>
      <c r="L157" s="175"/>
      <c r="M157" s="175"/>
      <c r="N157" s="175"/>
      <c r="O157" s="175"/>
      <c r="P157" s="175"/>
      <c r="Q157" s="534"/>
      <c r="R157" s="535"/>
      <c r="S157" s="535"/>
      <c r="T157" s="535"/>
      <c r="U157" s="535"/>
      <c r="V157" s="535"/>
    </row>
    <row r="158" spans="1:22" ht="15" customHeight="1">
      <c r="A158" s="327"/>
      <c r="B158" s="323"/>
      <c r="C158" s="175"/>
      <c r="D158" s="175"/>
      <c r="E158" s="175"/>
      <c r="F158" s="175"/>
      <c r="G158" s="175"/>
      <c r="H158" s="175"/>
      <c r="I158" s="175"/>
      <c r="J158" s="175"/>
      <c r="K158" s="175"/>
      <c r="L158" s="175"/>
      <c r="M158" s="175"/>
      <c r="N158" s="175"/>
      <c r="O158" s="175"/>
      <c r="P158" s="175"/>
      <c r="Q158" s="534"/>
      <c r="R158" s="535"/>
      <c r="S158" s="535"/>
      <c r="T158" s="535"/>
      <c r="U158" s="535"/>
      <c r="V158" s="535"/>
    </row>
    <row r="159" spans="1:22" ht="15" customHeight="1">
      <c r="A159" s="327"/>
      <c r="B159" s="323"/>
      <c r="C159" s="175"/>
      <c r="D159" s="175"/>
      <c r="E159" s="175"/>
      <c r="F159" s="175"/>
      <c r="G159" s="175"/>
      <c r="H159" s="175"/>
      <c r="I159" s="175"/>
      <c r="J159" s="175"/>
      <c r="K159" s="175"/>
      <c r="L159" s="175"/>
      <c r="M159" s="175"/>
      <c r="N159" s="175"/>
      <c r="O159" s="175"/>
      <c r="P159" s="175"/>
      <c r="Q159" s="534"/>
      <c r="R159" s="535"/>
      <c r="S159" s="535"/>
      <c r="T159" s="535"/>
      <c r="U159" s="535"/>
      <c r="V159" s="535"/>
    </row>
    <row r="160" spans="1:22" ht="15" customHeight="1">
      <c r="A160" s="327"/>
      <c r="B160" s="323"/>
      <c r="C160" s="175"/>
      <c r="D160" s="175"/>
      <c r="E160" s="175"/>
      <c r="F160" s="175"/>
      <c r="G160" s="175"/>
      <c r="H160" s="175"/>
      <c r="I160" s="175"/>
      <c r="J160" s="175"/>
      <c r="K160" s="175"/>
      <c r="L160" s="175"/>
      <c r="M160" s="175"/>
      <c r="N160" s="175"/>
      <c r="O160" s="175"/>
      <c r="P160" s="175"/>
      <c r="Q160" s="534"/>
      <c r="R160" s="535"/>
      <c r="S160" s="535"/>
      <c r="T160" s="535"/>
      <c r="U160" s="535"/>
      <c r="V160" s="535"/>
    </row>
    <row r="161" spans="1:22" ht="15" customHeight="1">
      <c r="A161" s="327"/>
      <c r="B161" s="323"/>
      <c r="C161" s="175"/>
      <c r="D161" s="175"/>
      <c r="E161" s="175"/>
      <c r="F161" s="175"/>
      <c r="G161" s="175"/>
      <c r="H161" s="175"/>
      <c r="I161" s="175"/>
      <c r="J161" s="175"/>
      <c r="K161" s="175"/>
      <c r="L161" s="175"/>
      <c r="M161" s="175"/>
      <c r="N161" s="175"/>
      <c r="O161" s="175"/>
      <c r="P161" s="175"/>
      <c r="Q161" s="534"/>
      <c r="R161" s="535"/>
      <c r="S161" s="535"/>
      <c r="T161" s="535"/>
      <c r="U161" s="535"/>
      <c r="V161" s="535"/>
    </row>
    <row r="162" spans="1:22" ht="15" customHeight="1">
      <c r="A162" s="327"/>
      <c r="B162" s="323"/>
      <c r="C162" s="175"/>
      <c r="D162" s="175"/>
      <c r="E162" s="175"/>
      <c r="F162" s="175"/>
      <c r="G162" s="175"/>
      <c r="H162" s="175"/>
      <c r="I162" s="175"/>
      <c r="J162" s="175"/>
      <c r="K162" s="175"/>
      <c r="L162" s="175"/>
      <c r="M162" s="175"/>
      <c r="N162" s="175"/>
      <c r="O162" s="175"/>
      <c r="P162" s="175"/>
      <c r="Q162" s="534"/>
      <c r="R162" s="535"/>
      <c r="S162" s="535"/>
      <c r="T162" s="535"/>
      <c r="U162" s="535"/>
      <c r="V162" s="535"/>
    </row>
    <row r="163" spans="1:22" ht="15" customHeight="1">
      <c r="A163" s="327"/>
      <c r="B163" s="323"/>
      <c r="C163" s="175"/>
      <c r="D163" s="175"/>
      <c r="E163" s="175"/>
      <c r="F163" s="175"/>
      <c r="G163" s="175"/>
      <c r="H163" s="175"/>
      <c r="I163" s="175"/>
      <c r="J163" s="175"/>
      <c r="K163" s="175"/>
      <c r="L163" s="175"/>
      <c r="M163" s="175"/>
      <c r="N163" s="175"/>
      <c r="O163" s="175"/>
      <c r="P163" s="175"/>
      <c r="Q163" s="534"/>
      <c r="R163" s="535"/>
      <c r="S163" s="535"/>
      <c r="T163" s="535"/>
      <c r="U163" s="535"/>
      <c r="V163" s="535"/>
    </row>
    <row r="164" spans="1:22" ht="15" customHeight="1">
      <c r="A164" s="327"/>
      <c r="B164" s="323"/>
      <c r="C164" s="175"/>
      <c r="D164" s="175"/>
      <c r="E164" s="175"/>
      <c r="F164" s="175"/>
      <c r="G164" s="175"/>
      <c r="H164" s="175"/>
      <c r="I164" s="175"/>
      <c r="J164" s="175"/>
      <c r="K164" s="175"/>
      <c r="L164" s="175"/>
      <c r="M164" s="175"/>
      <c r="N164" s="175"/>
      <c r="O164" s="175"/>
      <c r="P164" s="175"/>
      <c r="Q164" s="534"/>
      <c r="R164" s="535"/>
      <c r="S164" s="535"/>
      <c r="T164" s="535"/>
      <c r="U164" s="535"/>
      <c r="V164" s="535"/>
    </row>
    <row r="165" spans="1:22" ht="15" customHeight="1">
      <c r="A165" s="327"/>
      <c r="B165" s="323"/>
      <c r="C165" s="175"/>
      <c r="D165" s="175"/>
      <c r="E165" s="175"/>
      <c r="F165" s="175"/>
      <c r="G165" s="175"/>
      <c r="H165" s="175"/>
      <c r="I165" s="175"/>
      <c r="J165" s="175"/>
      <c r="K165" s="175"/>
      <c r="L165" s="175"/>
      <c r="M165" s="175"/>
      <c r="N165" s="175"/>
      <c r="O165" s="175"/>
      <c r="P165" s="175"/>
      <c r="Q165" s="534"/>
      <c r="R165" s="535"/>
      <c r="S165" s="535"/>
      <c r="T165" s="535"/>
      <c r="U165" s="535"/>
      <c r="V165" s="535"/>
    </row>
    <row r="166" spans="1:22" ht="15" customHeight="1">
      <c r="A166" s="327"/>
      <c r="B166" s="323"/>
      <c r="C166" s="175"/>
      <c r="D166" s="175"/>
      <c r="E166" s="175"/>
      <c r="F166" s="175"/>
      <c r="G166" s="175"/>
      <c r="H166" s="175"/>
      <c r="I166" s="175"/>
      <c r="J166" s="175"/>
      <c r="K166" s="175"/>
      <c r="L166" s="175"/>
      <c r="M166" s="175"/>
      <c r="N166" s="175"/>
      <c r="O166" s="175"/>
      <c r="P166" s="175"/>
      <c r="Q166" s="534"/>
      <c r="R166" s="535"/>
      <c r="S166" s="535"/>
      <c r="T166" s="535"/>
      <c r="U166" s="535"/>
      <c r="V166" s="535"/>
    </row>
    <row r="167" spans="1:22" ht="15" customHeight="1">
      <c r="A167" s="327"/>
      <c r="B167" s="323"/>
      <c r="C167" s="175"/>
      <c r="D167" s="175"/>
      <c r="E167" s="175"/>
      <c r="F167" s="175"/>
      <c r="G167" s="175"/>
      <c r="H167" s="175"/>
      <c r="I167" s="175"/>
      <c r="J167" s="175"/>
      <c r="K167" s="175"/>
      <c r="L167" s="175"/>
      <c r="M167" s="175"/>
      <c r="N167" s="175"/>
      <c r="O167" s="175"/>
      <c r="P167" s="175"/>
      <c r="Q167" s="534"/>
      <c r="R167" s="535"/>
      <c r="S167" s="535"/>
      <c r="T167" s="535"/>
      <c r="U167" s="535"/>
      <c r="V167" s="535"/>
    </row>
    <row r="168" spans="1:22" ht="15" customHeight="1">
      <c r="A168" s="327"/>
      <c r="B168" s="323"/>
      <c r="C168" s="175"/>
      <c r="D168" s="175"/>
      <c r="E168" s="175"/>
      <c r="F168" s="175"/>
      <c r="G168" s="175"/>
      <c r="H168" s="175"/>
      <c r="I168" s="175"/>
      <c r="J168" s="175"/>
      <c r="K168" s="175"/>
      <c r="L168" s="175"/>
      <c r="M168" s="175"/>
      <c r="N168" s="175"/>
      <c r="O168" s="175"/>
      <c r="P168" s="175"/>
      <c r="Q168" s="534"/>
      <c r="R168" s="535"/>
      <c r="S168" s="535"/>
      <c r="T168" s="535"/>
      <c r="U168" s="535"/>
      <c r="V168" s="535"/>
    </row>
    <row r="169" spans="1:22" ht="15" customHeight="1">
      <c r="A169" s="327"/>
      <c r="B169" s="323"/>
      <c r="C169" s="175"/>
      <c r="D169" s="175"/>
      <c r="E169" s="175"/>
      <c r="F169" s="175"/>
      <c r="G169" s="175"/>
      <c r="H169" s="175"/>
      <c r="I169" s="175"/>
      <c r="J169" s="175"/>
      <c r="K169" s="175"/>
      <c r="L169" s="175"/>
      <c r="M169" s="175"/>
      <c r="N169" s="175"/>
      <c r="O169" s="175"/>
      <c r="P169" s="175"/>
      <c r="Q169" s="534"/>
      <c r="R169" s="535"/>
      <c r="S169" s="535"/>
      <c r="T169" s="535"/>
      <c r="U169" s="535"/>
      <c r="V169" s="535"/>
    </row>
    <row r="170" spans="1:22" ht="15" customHeight="1">
      <c r="A170" s="327"/>
      <c r="B170" s="323"/>
      <c r="C170" s="175"/>
      <c r="D170" s="175"/>
      <c r="E170" s="175"/>
      <c r="F170" s="175"/>
      <c r="G170" s="175"/>
      <c r="H170" s="175"/>
      <c r="I170" s="175"/>
      <c r="J170" s="175"/>
      <c r="K170" s="175"/>
      <c r="L170" s="175"/>
      <c r="M170" s="175"/>
      <c r="N170" s="175"/>
      <c r="O170" s="175"/>
      <c r="P170" s="175"/>
      <c r="Q170" s="534"/>
      <c r="R170" s="535"/>
      <c r="S170" s="535"/>
      <c r="T170" s="535"/>
      <c r="U170" s="535"/>
      <c r="V170" s="535"/>
    </row>
    <row r="171" spans="1:22" ht="15" customHeight="1">
      <c r="A171" s="327"/>
      <c r="B171" s="323"/>
      <c r="C171" s="175"/>
      <c r="D171" s="175"/>
      <c r="E171" s="175"/>
      <c r="F171" s="175"/>
      <c r="G171" s="175"/>
      <c r="H171" s="175"/>
      <c r="I171" s="175"/>
      <c r="J171" s="175"/>
      <c r="K171" s="175"/>
      <c r="L171" s="175"/>
      <c r="M171" s="175"/>
      <c r="N171" s="175"/>
      <c r="O171" s="175"/>
      <c r="P171" s="175"/>
      <c r="Q171" s="534"/>
      <c r="R171" s="535"/>
      <c r="S171" s="535"/>
      <c r="T171" s="535"/>
      <c r="U171" s="535"/>
      <c r="V171" s="535"/>
    </row>
    <row r="172" spans="1:22" ht="15" customHeight="1">
      <c r="A172" s="327"/>
      <c r="B172" s="323"/>
      <c r="C172" s="175"/>
      <c r="D172" s="175"/>
      <c r="E172" s="175"/>
      <c r="F172" s="175"/>
      <c r="G172" s="175"/>
      <c r="H172" s="175"/>
      <c r="I172" s="175"/>
      <c r="J172" s="175"/>
      <c r="K172" s="175"/>
      <c r="L172" s="175"/>
      <c r="M172" s="175"/>
      <c r="N172" s="175"/>
      <c r="O172" s="175"/>
      <c r="P172" s="175"/>
      <c r="Q172" s="534"/>
      <c r="R172" s="535"/>
      <c r="S172" s="535"/>
      <c r="T172" s="535"/>
      <c r="U172" s="535"/>
      <c r="V172" s="535"/>
    </row>
    <row r="173" spans="1:22" ht="15" customHeight="1">
      <c r="A173" s="327"/>
      <c r="B173" s="323"/>
      <c r="C173" s="175"/>
      <c r="D173" s="175"/>
      <c r="E173" s="175"/>
      <c r="F173" s="175"/>
      <c r="G173" s="175"/>
      <c r="H173" s="175"/>
      <c r="I173" s="175"/>
      <c r="J173" s="175"/>
      <c r="K173" s="175"/>
      <c r="L173" s="175"/>
      <c r="M173" s="175"/>
      <c r="N173" s="175"/>
      <c r="O173" s="175"/>
      <c r="P173" s="175"/>
      <c r="Q173" s="534"/>
      <c r="R173" s="535"/>
      <c r="S173" s="535"/>
      <c r="T173" s="535"/>
      <c r="U173" s="535"/>
      <c r="V173" s="535"/>
    </row>
    <row r="174" spans="1:22" ht="15" customHeight="1">
      <c r="A174" s="327"/>
      <c r="B174" s="323"/>
      <c r="C174" s="175"/>
      <c r="D174" s="175"/>
      <c r="E174" s="175"/>
      <c r="F174" s="175"/>
      <c r="G174" s="175"/>
      <c r="H174" s="175"/>
      <c r="I174" s="175"/>
      <c r="J174" s="175"/>
      <c r="K174" s="175"/>
      <c r="L174" s="175"/>
      <c r="M174" s="175"/>
      <c r="N174" s="175"/>
      <c r="O174" s="175"/>
      <c r="P174" s="175"/>
      <c r="Q174" s="534"/>
      <c r="R174" s="535"/>
      <c r="S174" s="535"/>
      <c r="T174" s="535"/>
      <c r="U174" s="535"/>
      <c r="V174" s="535"/>
    </row>
    <row r="175" spans="1:22" ht="15" customHeight="1">
      <c r="A175" s="327"/>
      <c r="B175" s="323"/>
      <c r="C175" s="175"/>
      <c r="D175" s="175"/>
      <c r="E175" s="175"/>
      <c r="F175" s="175"/>
      <c r="G175" s="175"/>
      <c r="H175" s="175"/>
      <c r="I175" s="175"/>
      <c r="J175" s="175"/>
      <c r="K175" s="175"/>
      <c r="L175" s="175"/>
      <c r="M175" s="175"/>
      <c r="N175" s="175"/>
      <c r="O175" s="175"/>
      <c r="P175" s="175"/>
      <c r="Q175" s="534"/>
      <c r="R175" s="535"/>
      <c r="S175" s="535"/>
      <c r="T175" s="535"/>
      <c r="U175" s="535"/>
      <c r="V175" s="535"/>
    </row>
    <row r="176" spans="1:22" ht="15" customHeight="1">
      <c r="A176" s="327"/>
      <c r="B176" s="323"/>
      <c r="C176" s="175"/>
      <c r="D176" s="175"/>
      <c r="E176" s="175"/>
      <c r="F176" s="175"/>
      <c r="G176" s="175"/>
      <c r="H176" s="175"/>
      <c r="I176" s="175"/>
      <c r="J176" s="175"/>
      <c r="K176" s="175"/>
      <c r="L176" s="175"/>
      <c r="M176" s="175"/>
      <c r="N176" s="175"/>
      <c r="O176" s="175"/>
      <c r="P176" s="175"/>
      <c r="Q176" s="534"/>
      <c r="R176" s="535"/>
      <c r="S176" s="535"/>
      <c r="T176" s="535"/>
      <c r="U176" s="535"/>
      <c r="V176" s="535"/>
    </row>
    <row r="177" spans="1:22" ht="15" customHeight="1">
      <c r="A177" s="327"/>
      <c r="B177" s="323"/>
      <c r="C177" s="175"/>
      <c r="D177" s="175"/>
      <c r="E177" s="175"/>
      <c r="F177" s="175"/>
      <c r="G177" s="175"/>
      <c r="H177" s="175"/>
      <c r="I177" s="175"/>
      <c r="J177" s="175"/>
      <c r="K177" s="175"/>
      <c r="L177" s="175"/>
      <c r="M177" s="175"/>
      <c r="N177" s="175"/>
      <c r="O177" s="175"/>
      <c r="P177" s="175"/>
      <c r="Q177" s="534"/>
      <c r="R177" s="535"/>
      <c r="S177" s="535"/>
      <c r="T177" s="535"/>
      <c r="U177" s="535"/>
      <c r="V177" s="535"/>
    </row>
    <row r="178" spans="1:22" ht="15" customHeight="1">
      <c r="A178" s="327"/>
      <c r="B178" s="323"/>
      <c r="C178" s="175"/>
      <c r="D178" s="175"/>
      <c r="E178" s="175"/>
      <c r="F178" s="175"/>
      <c r="G178" s="175"/>
      <c r="H178" s="175"/>
      <c r="I178" s="175"/>
      <c r="J178" s="175"/>
      <c r="K178" s="175"/>
      <c r="L178" s="175"/>
      <c r="M178" s="175"/>
      <c r="N178" s="175"/>
      <c r="O178" s="175"/>
      <c r="P178" s="175"/>
      <c r="Q178" s="534"/>
      <c r="R178" s="535"/>
      <c r="S178" s="535"/>
      <c r="T178" s="535"/>
      <c r="U178" s="535"/>
      <c r="V178" s="535"/>
    </row>
    <row r="179" spans="1:22" ht="15" customHeight="1">
      <c r="A179" s="327"/>
      <c r="B179" s="323"/>
      <c r="C179" s="175"/>
      <c r="D179" s="175"/>
      <c r="E179" s="175"/>
      <c r="F179" s="175"/>
      <c r="G179" s="175"/>
      <c r="H179" s="175"/>
      <c r="I179" s="175"/>
      <c r="J179" s="175"/>
      <c r="K179" s="175"/>
      <c r="L179" s="175"/>
      <c r="M179" s="175"/>
      <c r="N179" s="175"/>
      <c r="O179" s="175"/>
      <c r="P179" s="175"/>
      <c r="Q179" s="534"/>
      <c r="R179" s="535"/>
      <c r="S179" s="535"/>
      <c r="T179" s="535"/>
      <c r="U179" s="535"/>
      <c r="V179" s="535"/>
    </row>
    <row r="180" spans="1:22" ht="15" customHeight="1">
      <c r="A180" s="327"/>
      <c r="B180" s="323"/>
      <c r="C180" s="175"/>
      <c r="D180" s="175"/>
      <c r="E180" s="175"/>
      <c r="F180" s="175"/>
      <c r="G180" s="175"/>
      <c r="H180" s="175"/>
      <c r="I180" s="175"/>
      <c r="J180" s="175"/>
      <c r="K180" s="175"/>
      <c r="L180" s="175"/>
      <c r="M180" s="175"/>
      <c r="N180" s="175"/>
      <c r="O180" s="175"/>
      <c r="P180" s="175"/>
      <c r="Q180" s="534"/>
      <c r="R180" s="535"/>
      <c r="S180" s="535"/>
      <c r="T180" s="535"/>
      <c r="U180" s="535"/>
      <c r="V180" s="535"/>
    </row>
    <row r="181" spans="1:22" ht="15" customHeight="1">
      <c r="A181" s="327"/>
      <c r="B181" s="323"/>
      <c r="C181" s="175"/>
      <c r="D181" s="175"/>
      <c r="E181" s="175"/>
      <c r="F181" s="175"/>
      <c r="G181" s="175"/>
      <c r="H181" s="175"/>
      <c r="I181" s="175"/>
      <c r="J181" s="175"/>
      <c r="K181" s="175"/>
      <c r="L181" s="175"/>
      <c r="M181" s="175"/>
      <c r="N181" s="175"/>
      <c r="O181" s="175"/>
      <c r="P181" s="175"/>
      <c r="Q181" s="534"/>
      <c r="R181" s="535"/>
      <c r="S181" s="535"/>
      <c r="T181" s="535"/>
      <c r="U181" s="535"/>
      <c r="V181" s="535"/>
    </row>
    <row r="182" spans="1:22" ht="15" customHeight="1">
      <c r="A182" s="327"/>
      <c r="B182" s="323"/>
      <c r="C182" s="175"/>
      <c r="D182" s="175"/>
      <c r="E182" s="175"/>
      <c r="F182" s="175"/>
      <c r="G182" s="175"/>
      <c r="H182" s="175"/>
      <c r="I182" s="175"/>
      <c r="J182" s="175"/>
      <c r="K182" s="175"/>
      <c r="L182" s="175"/>
      <c r="M182" s="175"/>
      <c r="N182" s="175"/>
      <c r="O182" s="175"/>
      <c r="P182" s="175"/>
      <c r="Q182" s="534"/>
      <c r="R182" s="535"/>
      <c r="S182" s="535"/>
      <c r="T182" s="535"/>
      <c r="U182" s="535"/>
      <c r="V182" s="535"/>
    </row>
    <row r="183" spans="1:22" ht="15" customHeight="1">
      <c r="A183" s="327"/>
      <c r="B183" s="323"/>
      <c r="C183" s="175"/>
      <c r="D183" s="175"/>
      <c r="E183" s="175"/>
      <c r="F183" s="175"/>
      <c r="G183" s="175"/>
      <c r="H183" s="175"/>
      <c r="I183" s="175"/>
      <c r="J183" s="175"/>
      <c r="K183" s="175"/>
      <c r="L183" s="175"/>
      <c r="M183" s="175"/>
      <c r="N183" s="175"/>
      <c r="O183" s="175"/>
      <c r="P183" s="175"/>
      <c r="Q183" s="534"/>
      <c r="R183" s="535"/>
      <c r="S183" s="535"/>
      <c r="T183" s="535"/>
      <c r="U183" s="535"/>
      <c r="V183" s="535"/>
    </row>
    <row r="184" spans="1:22" ht="15" customHeight="1">
      <c r="A184" s="327"/>
      <c r="B184" s="323"/>
      <c r="C184" s="175"/>
      <c r="D184" s="175"/>
      <c r="E184" s="175"/>
      <c r="F184" s="175"/>
      <c r="G184" s="175"/>
      <c r="H184" s="175"/>
      <c r="I184" s="175"/>
      <c r="J184" s="175"/>
      <c r="K184" s="175"/>
      <c r="L184" s="175"/>
      <c r="M184" s="175"/>
      <c r="N184" s="175"/>
      <c r="O184" s="175"/>
      <c r="P184" s="175"/>
      <c r="Q184" s="534"/>
      <c r="R184" s="535"/>
      <c r="S184" s="535"/>
      <c r="T184" s="535"/>
      <c r="U184" s="535"/>
      <c r="V184" s="535"/>
    </row>
    <row r="185" spans="1:22" ht="15" customHeight="1">
      <c r="A185" s="327"/>
      <c r="B185" s="323"/>
      <c r="C185" s="175"/>
      <c r="D185" s="175"/>
      <c r="E185" s="175"/>
      <c r="F185" s="175"/>
      <c r="G185" s="175"/>
      <c r="H185" s="175"/>
      <c r="I185" s="175"/>
      <c r="J185" s="175"/>
      <c r="K185" s="175"/>
      <c r="L185" s="175"/>
      <c r="M185" s="175"/>
      <c r="N185" s="175"/>
      <c r="O185" s="175"/>
      <c r="P185" s="175"/>
      <c r="Q185" s="534"/>
      <c r="R185" s="535"/>
      <c r="S185" s="535"/>
      <c r="T185" s="535"/>
      <c r="U185" s="535"/>
      <c r="V185" s="535"/>
    </row>
    <row r="186" spans="1:22" ht="15" customHeight="1">
      <c r="A186" s="327"/>
      <c r="B186" s="323"/>
      <c r="C186" s="175"/>
      <c r="D186" s="175"/>
      <c r="E186" s="175"/>
      <c r="F186" s="175"/>
      <c r="G186" s="175"/>
      <c r="H186" s="175"/>
      <c r="I186" s="175"/>
      <c r="J186" s="175"/>
      <c r="K186" s="175"/>
      <c r="L186" s="175"/>
      <c r="M186" s="175"/>
      <c r="N186" s="175"/>
      <c r="O186" s="175"/>
      <c r="P186" s="175"/>
      <c r="Q186" s="534"/>
      <c r="R186" s="535"/>
      <c r="S186" s="535"/>
      <c r="T186" s="535"/>
      <c r="U186" s="535"/>
      <c r="V186" s="535"/>
    </row>
    <row r="187" spans="1:22" ht="15" customHeight="1">
      <c r="A187" s="327"/>
      <c r="B187" s="323"/>
      <c r="C187" s="175"/>
      <c r="D187" s="175"/>
      <c r="E187" s="175"/>
      <c r="F187" s="175"/>
      <c r="G187" s="175"/>
      <c r="H187" s="175"/>
      <c r="I187" s="175"/>
      <c r="J187" s="175"/>
      <c r="K187" s="175"/>
      <c r="L187" s="175"/>
      <c r="M187" s="175"/>
      <c r="N187" s="175"/>
      <c r="O187" s="175"/>
      <c r="P187" s="175"/>
      <c r="Q187" s="534"/>
      <c r="R187" s="535"/>
      <c r="S187" s="535"/>
      <c r="T187" s="535"/>
      <c r="U187" s="535"/>
      <c r="V187" s="535"/>
    </row>
    <row r="188" spans="1:22" ht="15" customHeight="1">
      <c r="A188" s="327"/>
      <c r="B188" s="323"/>
      <c r="C188" s="175"/>
      <c r="D188" s="175"/>
      <c r="E188" s="175"/>
      <c r="F188" s="175"/>
      <c r="G188" s="175"/>
      <c r="H188" s="175"/>
      <c r="I188" s="175"/>
      <c r="J188" s="175"/>
      <c r="K188" s="175"/>
      <c r="L188" s="175"/>
      <c r="M188" s="175"/>
      <c r="N188" s="175"/>
      <c r="O188" s="175"/>
      <c r="P188" s="175"/>
      <c r="Q188" s="534"/>
      <c r="R188" s="535"/>
      <c r="S188" s="535"/>
      <c r="T188" s="535"/>
      <c r="U188" s="535"/>
      <c r="V188" s="535"/>
    </row>
    <row r="189" spans="1:22" ht="15" customHeight="1">
      <c r="A189" s="327"/>
      <c r="B189" s="323"/>
      <c r="C189" s="175"/>
      <c r="D189" s="175"/>
      <c r="E189" s="175"/>
      <c r="F189" s="175"/>
      <c r="G189" s="175"/>
      <c r="H189" s="175"/>
      <c r="I189" s="175"/>
      <c r="J189" s="175"/>
      <c r="K189" s="175"/>
      <c r="L189" s="175"/>
      <c r="M189" s="175"/>
      <c r="N189" s="175"/>
      <c r="O189" s="175"/>
      <c r="P189" s="175"/>
      <c r="Q189" s="534"/>
      <c r="R189" s="535"/>
      <c r="S189" s="535"/>
      <c r="T189" s="535"/>
      <c r="U189" s="535"/>
      <c r="V189" s="535"/>
    </row>
    <row r="190" spans="1:22" ht="15" customHeight="1">
      <c r="A190" s="327"/>
      <c r="B190" s="323"/>
      <c r="C190" s="175"/>
      <c r="D190" s="175"/>
      <c r="E190" s="175"/>
      <c r="F190" s="175"/>
      <c r="G190" s="175"/>
      <c r="H190" s="175"/>
      <c r="I190" s="175"/>
      <c r="J190" s="175"/>
      <c r="K190" s="175"/>
      <c r="L190" s="175"/>
      <c r="M190" s="175"/>
      <c r="N190" s="175"/>
      <c r="O190" s="175"/>
      <c r="P190" s="175"/>
      <c r="Q190" s="534"/>
      <c r="R190" s="535"/>
      <c r="S190" s="535"/>
      <c r="T190" s="535"/>
      <c r="U190" s="535"/>
      <c r="V190" s="535"/>
    </row>
    <row r="191" spans="1:22" ht="15" customHeight="1">
      <c r="A191" s="327"/>
      <c r="B191" s="323"/>
      <c r="C191" s="175"/>
      <c r="D191" s="175"/>
      <c r="E191" s="175"/>
      <c r="F191" s="175"/>
      <c r="G191" s="175"/>
      <c r="H191" s="175"/>
      <c r="I191" s="175"/>
      <c r="J191" s="175"/>
      <c r="K191" s="175"/>
      <c r="L191" s="175"/>
      <c r="M191" s="175"/>
      <c r="N191" s="175"/>
      <c r="O191" s="175"/>
      <c r="P191" s="175"/>
      <c r="Q191" s="534"/>
      <c r="R191" s="535"/>
      <c r="S191" s="535"/>
      <c r="T191" s="535"/>
      <c r="U191" s="535"/>
      <c r="V191" s="535"/>
    </row>
    <row r="192" spans="1:22" ht="15" customHeight="1">
      <c r="A192" s="327"/>
      <c r="B192" s="323"/>
      <c r="C192" s="175"/>
      <c r="D192" s="175"/>
      <c r="E192" s="175"/>
      <c r="F192" s="175"/>
      <c r="G192" s="175"/>
      <c r="H192" s="175"/>
      <c r="I192" s="175"/>
      <c r="J192" s="175"/>
      <c r="K192" s="175"/>
      <c r="L192" s="175"/>
      <c r="M192" s="175"/>
      <c r="N192" s="175"/>
      <c r="O192" s="175"/>
      <c r="P192" s="175"/>
      <c r="Q192" s="534"/>
      <c r="R192" s="535"/>
      <c r="S192" s="535"/>
      <c r="T192" s="535"/>
      <c r="U192" s="535"/>
      <c r="V192" s="535"/>
    </row>
    <row r="193" spans="1:22" ht="15" customHeight="1">
      <c r="A193" s="327"/>
      <c r="B193" s="323"/>
      <c r="C193" s="175"/>
      <c r="D193" s="175"/>
      <c r="E193" s="175"/>
      <c r="F193" s="175"/>
      <c r="G193" s="175"/>
      <c r="H193" s="175"/>
      <c r="I193" s="175"/>
      <c r="J193" s="175"/>
      <c r="K193" s="175"/>
      <c r="L193" s="175"/>
      <c r="M193" s="175"/>
      <c r="N193" s="175"/>
      <c r="O193" s="175"/>
      <c r="P193" s="175"/>
      <c r="Q193" s="534"/>
      <c r="R193" s="535"/>
      <c r="S193" s="535"/>
      <c r="T193" s="535"/>
      <c r="U193" s="535"/>
      <c r="V193" s="535"/>
    </row>
    <row r="194" spans="1:22" ht="15" customHeight="1">
      <c r="A194" s="327"/>
      <c r="B194" s="323"/>
      <c r="C194" s="175"/>
      <c r="D194" s="175"/>
      <c r="E194" s="175"/>
      <c r="F194" s="175"/>
      <c r="G194" s="175"/>
      <c r="H194" s="175"/>
      <c r="I194" s="175"/>
      <c r="J194" s="175"/>
      <c r="K194" s="175"/>
      <c r="L194" s="175"/>
      <c r="M194" s="175"/>
      <c r="N194" s="175"/>
      <c r="O194" s="175"/>
      <c r="P194" s="175"/>
      <c r="Q194" s="534"/>
      <c r="R194" s="535"/>
      <c r="S194" s="535"/>
      <c r="T194" s="535"/>
      <c r="U194" s="535"/>
      <c r="V194" s="535"/>
    </row>
    <row r="195" spans="1:22" ht="15" customHeight="1">
      <c r="A195" s="327"/>
      <c r="B195" s="323"/>
      <c r="C195" s="175"/>
      <c r="D195" s="175"/>
      <c r="E195" s="175"/>
      <c r="F195" s="175"/>
      <c r="G195" s="175"/>
      <c r="H195" s="175"/>
      <c r="I195" s="175"/>
      <c r="J195" s="175"/>
      <c r="K195" s="175"/>
      <c r="L195" s="175"/>
      <c r="M195" s="175"/>
      <c r="N195" s="175"/>
      <c r="O195" s="175"/>
      <c r="P195" s="175"/>
      <c r="Q195" s="534"/>
      <c r="R195" s="535"/>
      <c r="S195" s="535"/>
      <c r="T195" s="535"/>
      <c r="U195" s="535"/>
      <c r="V195" s="535"/>
    </row>
    <row r="196" spans="1:22" ht="15" customHeight="1">
      <c r="A196" s="327"/>
      <c r="B196" s="323"/>
      <c r="C196" s="175"/>
      <c r="D196" s="175"/>
      <c r="E196" s="175"/>
      <c r="F196" s="175"/>
      <c r="G196" s="175"/>
      <c r="H196" s="175"/>
      <c r="I196" s="175"/>
      <c r="J196" s="175"/>
      <c r="K196" s="175"/>
      <c r="L196" s="175"/>
      <c r="M196" s="175"/>
      <c r="N196" s="175"/>
      <c r="O196" s="175"/>
      <c r="P196" s="175"/>
      <c r="Q196" s="534"/>
      <c r="R196" s="535"/>
      <c r="S196" s="535"/>
      <c r="T196" s="535"/>
      <c r="U196" s="535"/>
      <c r="V196" s="535"/>
    </row>
    <row r="197" spans="1:22" ht="15" customHeight="1">
      <c r="A197" s="327"/>
      <c r="B197" s="323"/>
      <c r="C197" s="175"/>
      <c r="D197" s="175"/>
      <c r="E197" s="175"/>
      <c r="F197" s="175"/>
      <c r="G197" s="175"/>
      <c r="H197" s="175"/>
      <c r="I197" s="175"/>
      <c r="J197" s="175"/>
      <c r="K197" s="175"/>
      <c r="L197" s="175"/>
      <c r="M197" s="175"/>
      <c r="N197" s="175"/>
      <c r="O197" s="175"/>
      <c r="P197" s="175"/>
      <c r="Q197" s="534"/>
      <c r="R197" s="535"/>
      <c r="S197" s="535"/>
      <c r="T197" s="535"/>
      <c r="U197" s="535"/>
      <c r="V197" s="535"/>
    </row>
    <row r="198" spans="1:22" ht="15" customHeight="1">
      <c r="A198" s="327"/>
      <c r="B198" s="323"/>
      <c r="C198" s="175"/>
      <c r="D198" s="175"/>
      <c r="E198" s="175"/>
      <c r="F198" s="175"/>
      <c r="G198" s="175"/>
      <c r="H198" s="175"/>
      <c r="I198" s="175"/>
      <c r="J198" s="175"/>
      <c r="K198" s="175"/>
      <c r="L198" s="175"/>
      <c r="M198" s="175"/>
      <c r="N198" s="175"/>
      <c r="O198" s="175"/>
      <c r="P198" s="175"/>
      <c r="Q198" s="534"/>
      <c r="R198" s="535"/>
      <c r="S198" s="535"/>
      <c r="T198" s="535"/>
      <c r="U198" s="535"/>
      <c r="V198" s="535"/>
    </row>
    <row r="199" spans="1:22" ht="15" customHeight="1">
      <c r="A199" s="327"/>
      <c r="B199" s="323"/>
      <c r="C199" s="175"/>
      <c r="D199" s="175"/>
      <c r="E199" s="175"/>
      <c r="F199" s="175"/>
      <c r="G199" s="175"/>
      <c r="H199" s="175"/>
      <c r="I199" s="175"/>
      <c r="J199" s="175"/>
      <c r="K199" s="175"/>
      <c r="L199" s="175"/>
      <c r="M199" s="175"/>
      <c r="N199" s="175"/>
      <c r="O199" s="175"/>
      <c r="P199" s="175"/>
      <c r="Q199" s="534"/>
      <c r="R199" s="535"/>
      <c r="S199" s="535"/>
      <c r="T199" s="535"/>
      <c r="U199" s="535"/>
      <c r="V199" s="535"/>
    </row>
    <row r="200" spans="1:22" ht="15" customHeight="1">
      <c r="A200" s="327"/>
      <c r="B200" s="323"/>
      <c r="C200" s="175"/>
      <c r="D200" s="175"/>
      <c r="E200" s="175"/>
      <c r="F200" s="175"/>
      <c r="G200" s="175"/>
      <c r="H200" s="175"/>
      <c r="I200" s="175"/>
      <c r="J200" s="175"/>
      <c r="K200" s="175"/>
      <c r="L200" s="175"/>
      <c r="M200" s="175"/>
      <c r="N200" s="175"/>
      <c r="O200" s="175"/>
      <c r="P200" s="175"/>
      <c r="Q200" s="534"/>
      <c r="R200" s="535"/>
      <c r="S200" s="535"/>
      <c r="T200" s="535"/>
      <c r="U200" s="535"/>
      <c r="V200" s="535"/>
    </row>
    <row r="201" spans="1:22" ht="15" customHeight="1">
      <c r="A201" s="327"/>
      <c r="B201" s="323"/>
      <c r="C201" s="175"/>
      <c r="D201" s="175"/>
      <c r="E201" s="175"/>
      <c r="F201" s="175"/>
      <c r="G201" s="175"/>
      <c r="H201" s="175"/>
      <c r="I201" s="175"/>
      <c r="J201" s="175"/>
      <c r="K201" s="175"/>
      <c r="L201" s="175"/>
      <c r="M201" s="175"/>
      <c r="N201" s="175"/>
      <c r="O201" s="175"/>
      <c r="P201" s="175"/>
      <c r="Q201" s="534"/>
      <c r="R201" s="535"/>
      <c r="S201" s="535"/>
      <c r="T201" s="535"/>
      <c r="U201" s="535"/>
      <c r="V201" s="535"/>
    </row>
    <row r="202" spans="1:22" ht="15" customHeight="1">
      <c r="A202" s="327"/>
      <c r="B202" s="323"/>
      <c r="C202" s="175"/>
      <c r="D202" s="175"/>
      <c r="E202" s="175"/>
      <c r="F202" s="175"/>
      <c r="G202" s="175"/>
      <c r="H202" s="175"/>
      <c r="I202" s="175"/>
      <c r="J202" s="175"/>
      <c r="K202" s="175"/>
      <c r="L202" s="175"/>
      <c r="M202" s="175"/>
      <c r="N202" s="175"/>
      <c r="O202" s="175"/>
      <c r="P202" s="175"/>
      <c r="Q202" s="534"/>
      <c r="R202" s="535"/>
      <c r="S202" s="535"/>
      <c r="T202" s="535"/>
      <c r="U202" s="535"/>
      <c r="V202" s="535"/>
    </row>
    <row r="203" spans="1:22" ht="15" customHeight="1">
      <c r="A203" s="327"/>
      <c r="B203" s="323"/>
      <c r="C203" s="175"/>
      <c r="D203" s="175"/>
      <c r="E203" s="175"/>
      <c r="F203" s="175"/>
      <c r="G203" s="175"/>
      <c r="H203" s="175"/>
      <c r="I203" s="175"/>
      <c r="J203" s="175"/>
      <c r="K203" s="175"/>
      <c r="L203" s="175"/>
      <c r="M203" s="175"/>
      <c r="N203" s="175"/>
      <c r="O203" s="175"/>
      <c r="P203" s="175"/>
      <c r="Q203" s="534"/>
      <c r="R203" s="535"/>
      <c r="S203" s="535"/>
      <c r="T203" s="535"/>
      <c r="U203" s="535"/>
      <c r="V203" s="535"/>
    </row>
    <row r="204" spans="1:22" ht="15" customHeight="1">
      <c r="A204" s="327"/>
      <c r="B204" s="323"/>
      <c r="C204" s="175"/>
      <c r="D204" s="175"/>
      <c r="E204" s="175"/>
      <c r="F204" s="175"/>
      <c r="G204" s="175"/>
      <c r="H204" s="175"/>
      <c r="I204" s="175"/>
      <c r="J204" s="175"/>
      <c r="K204" s="175"/>
      <c r="L204" s="175"/>
      <c r="M204" s="175"/>
      <c r="N204" s="175"/>
      <c r="O204" s="175"/>
      <c r="P204" s="175"/>
      <c r="Q204" s="534"/>
      <c r="R204" s="535"/>
      <c r="S204" s="535"/>
      <c r="T204" s="535"/>
      <c r="U204" s="535"/>
      <c r="V204" s="535"/>
    </row>
    <row r="205" spans="1:22" ht="15" customHeight="1">
      <c r="A205" s="327"/>
      <c r="B205" s="323"/>
      <c r="C205" s="175"/>
      <c r="D205" s="175"/>
      <c r="E205" s="175"/>
      <c r="F205" s="175"/>
      <c r="G205" s="175"/>
      <c r="H205" s="175"/>
      <c r="I205" s="175"/>
      <c r="J205" s="175"/>
      <c r="K205" s="175"/>
      <c r="L205" s="175"/>
      <c r="M205" s="175"/>
      <c r="N205" s="175"/>
      <c r="O205" s="175"/>
      <c r="P205" s="175"/>
      <c r="Q205" s="534"/>
      <c r="R205" s="535"/>
      <c r="S205" s="535"/>
      <c r="T205" s="535"/>
      <c r="U205" s="535"/>
      <c r="V205" s="535"/>
    </row>
    <row r="206" spans="1:22" ht="15" customHeight="1">
      <c r="A206" s="327"/>
      <c r="B206" s="323"/>
      <c r="C206" s="175"/>
      <c r="D206" s="175"/>
      <c r="E206" s="175"/>
      <c r="F206" s="175"/>
      <c r="G206" s="175"/>
      <c r="H206" s="175"/>
      <c r="I206" s="175"/>
      <c r="J206" s="175"/>
      <c r="K206" s="175"/>
      <c r="L206" s="175"/>
      <c r="M206" s="175"/>
      <c r="N206" s="175"/>
      <c r="O206" s="175"/>
      <c r="P206" s="175"/>
      <c r="Q206" s="534"/>
      <c r="R206" s="535"/>
      <c r="S206" s="535"/>
      <c r="T206" s="535"/>
      <c r="U206" s="535"/>
      <c r="V206" s="535"/>
    </row>
    <row r="207" spans="1:22" ht="15" customHeight="1">
      <c r="A207" s="327"/>
      <c r="B207" s="323"/>
      <c r="C207" s="175"/>
      <c r="D207" s="175"/>
      <c r="E207" s="175"/>
      <c r="F207" s="175"/>
      <c r="G207" s="175"/>
      <c r="H207" s="175"/>
      <c r="I207" s="175"/>
      <c r="J207" s="175"/>
      <c r="K207" s="175"/>
      <c r="L207" s="175"/>
      <c r="M207" s="175"/>
      <c r="N207" s="175"/>
      <c r="O207" s="175"/>
      <c r="P207" s="175"/>
      <c r="Q207" s="534"/>
      <c r="R207" s="535"/>
      <c r="S207" s="535"/>
      <c r="T207" s="535"/>
      <c r="U207" s="535"/>
      <c r="V207" s="535"/>
    </row>
    <row r="208" spans="1:22" ht="15" customHeight="1">
      <c r="A208" s="327"/>
      <c r="B208" s="323"/>
      <c r="C208" s="175"/>
      <c r="D208" s="175"/>
      <c r="E208" s="175"/>
      <c r="F208" s="175"/>
      <c r="G208" s="175"/>
      <c r="H208" s="175"/>
      <c r="I208" s="175"/>
      <c r="J208" s="175"/>
      <c r="K208" s="175"/>
      <c r="L208" s="175"/>
      <c r="M208" s="175"/>
      <c r="N208" s="175"/>
      <c r="O208" s="175"/>
      <c r="P208" s="175"/>
      <c r="Q208" s="534"/>
      <c r="R208" s="535"/>
      <c r="S208" s="535"/>
      <c r="T208" s="535"/>
      <c r="U208" s="535"/>
      <c r="V208" s="535"/>
    </row>
    <row r="209" spans="1:22" ht="15" customHeight="1">
      <c r="A209" s="327"/>
      <c r="B209" s="323"/>
      <c r="C209" s="175"/>
      <c r="D209" s="175"/>
      <c r="E209" s="175"/>
      <c r="F209" s="175"/>
      <c r="G209" s="175"/>
      <c r="H209" s="175"/>
      <c r="I209" s="175"/>
      <c r="J209" s="175"/>
      <c r="K209" s="175"/>
      <c r="L209" s="175"/>
      <c r="M209" s="175"/>
      <c r="N209" s="175"/>
      <c r="O209" s="175"/>
      <c r="P209" s="175"/>
      <c r="Q209" s="534"/>
      <c r="R209" s="535"/>
      <c r="S209" s="535"/>
      <c r="T209" s="535"/>
      <c r="U209" s="535"/>
      <c r="V209" s="535"/>
    </row>
    <row r="210" spans="1:22" ht="15" customHeight="1">
      <c r="A210" s="327"/>
      <c r="B210" s="323"/>
      <c r="C210" s="175"/>
      <c r="D210" s="175"/>
      <c r="E210" s="175"/>
      <c r="F210" s="175"/>
      <c r="G210" s="175"/>
      <c r="H210" s="175"/>
      <c r="I210" s="175"/>
      <c r="J210" s="175"/>
      <c r="K210" s="175"/>
      <c r="L210" s="175"/>
      <c r="M210" s="175"/>
      <c r="N210" s="175"/>
      <c r="O210" s="175"/>
      <c r="P210" s="175"/>
      <c r="Q210" s="534"/>
      <c r="R210" s="535"/>
      <c r="S210" s="535"/>
      <c r="T210" s="535"/>
      <c r="U210" s="535"/>
      <c r="V210" s="535"/>
    </row>
    <row r="223" spans="1:22" ht="15" customHeight="1">
      <c r="J223" s="9"/>
      <c r="K223" s="9"/>
      <c r="L223" s="9"/>
    </row>
    <row r="224" spans="1:22" ht="15" customHeight="1">
      <c r="J224" s="178"/>
      <c r="K224" s="9"/>
      <c r="L224" s="9"/>
    </row>
    <row r="225" spans="10:12" ht="15" customHeight="1">
      <c r="J225" s="178"/>
      <c r="K225" s="9"/>
      <c r="L225" s="9"/>
    </row>
    <row r="226" spans="10:12" ht="15" customHeight="1">
      <c r="J226" s="178"/>
      <c r="K226" s="9"/>
      <c r="L226" s="9"/>
    </row>
    <row r="227" spans="10:12" ht="15" customHeight="1">
      <c r="J227" s="178"/>
      <c r="K227" s="9"/>
      <c r="L227" s="9"/>
    </row>
    <row r="228" spans="10:12" ht="15" customHeight="1">
      <c r="J228" s="178"/>
      <c r="K228" s="9"/>
      <c r="L228" s="9"/>
    </row>
    <row r="229" spans="10:12" ht="15" customHeight="1">
      <c r="J229" s="178"/>
      <c r="K229" s="9"/>
      <c r="L229" s="9"/>
    </row>
    <row r="230" spans="10:12" ht="15" customHeight="1">
      <c r="J230" s="178"/>
      <c r="K230" s="9"/>
      <c r="L230" s="9"/>
    </row>
    <row r="231" spans="10:12" ht="15" customHeight="1">
      <c r="J231" s="178"/>
      <c r="K231" s="9"/>
      <c r="L231" s="9"/>
    </row>
    <row r="232" spans="10:12" ht="15" customHeight="1">
      <c r="J232" s="9"/>
      <c r="K232" s="9"/>
      <c r="L232" s="9"/>
    </row>
    <row r="233" spans="10:12" ht="15" customHeight="1">
      <c r="J233" s="9"/>
      <c r="K233" s="9"/>
      <c r="L233" s="9"/>
    </row>
    <row r="234" spans="10:12" ht="15" customHeight="1">
      <c r="J234" s="9"/>
      <c r="K234" s="9"/>
      <c r="L234" s="9"/>
    </row>
    <row r="235" spans="10:12" ht="15" customHeight="1">
      <c r="J235" s="9"/>
      <c r="K235" s="9"/>
      <c r="L235" s="9"/>
    </row>
    <row r="236" spans="10:12" ht="15" customHeight="1">
      <c r="J236" s="9"/>
      <c r="K236" s="9"/>
      <c r="L236" s="9"/>
    </row>
    <row r="237" spans="10:12" ht="15" customHeight="1">
      <c r="J237" s="9"/>
      <c r="K237" s="9"/>
      <c r="L237" s="9"/>
    </row>
    <row r="238" spans="10:12" ht="15" customHeight="1">
      <c r="J238" s="9"/>
      <c r="K238" s="9"/>
      <c r="L238" s="9"/>
    </row>
    <row r="239" spans="10:12" ht="15" customHeight="1">
      <c r="J239" s="9"/>
      <c r="K239" s="9"/>
      <c r="L239" s="9"/>
    </row>
    <row r="240" spans="10:12" ht="15" customHeight="1">
      <c r="J240" s="9"/>
      <c r="K240" s="9"/>
      <c r="L240" s="9"/>
    </row>
  </sheetData>
  <sheetProtection algorithmName="SHA-512" hashValue="XYpiYm3ahsyLM4lZNqsk/oejMPEESciOI2NC4Xw94gL76YscbrLXdh8JnwJ8AajPlhzjndp4LEbSTbgYXk3Dwg==" saltValue="ZSBc+8zLYhB7OWjB9R6Oqw==" spinCount="100000" sheet="1" objects="1" scenarios="1"/>
  <mergeCells count="180">
    <mergeCell ref="A3:B3"/>
    <mergeCell ref="A4:B4"/>
    <mergeCell ref="A5:B5"/>
    <mergeCell ref="A6:B6"/>
    <mergeCell ref="Q61:V61"/>
    <mergeCell ref="Q71:V71"/>
    <mergeCell ref="Q83:V83"/>
    <mergeCell ref="R8:S8"/>
    <mergeCell ref="Q76:V76"/>
    <mergeCell ref="Q77:V77"/>
    <mergeCell ref="Q78:V78"/>
    <mergeCell ref="Q79:V79"/>
    <mergeCell ref="Q80:V80"/>
    <mergeCell ref="Q81:V81"/>
    <mergeCell ref="Q82:V82"/>
    <mergeCell ref="Q63:V63"/>
    <mergeCell ref="Q64:V64"/>
    <mergeCell ref="Q65:V65"/>
    <mergeCell ref="Q66:V66"/>
    <mergeCell ref="R6:S6"/>
    <mergeCell ref="Q72:V72"/>
    <mergeCell ref="Q73:V73"/>
    <mergeCell ref="Q74:V74"/>
    <mergeCell ref="Q84:V84"/>
    <mergeCell ref="Q85:V85"/>
    <mergeCell ref="Q86:V86"/>
    <mergeCell ref="Q87:V87"/>
    <mergeCell ref="Q88:V88"/>
    <mergeCell ref="Q75:V75"/>
    <mergeCell ref="Q51:V51"/>
    <mergeCell ref="Q52:V52"/>
    <mergeCell ref="Q53:V53"/>
    <mergeCell ref="Q54:V54"/>
    <mergeCell ref="Q55:V55"/>
    <mergeCell ref="Q56:V56"/>
    <mergeCell ref="Q57:V57"/>
    <mergeCell ref="Q58:V58"/>
    <mergeCell ref="Q59:V59"/>
    <mergeCell ref="Q60:V60"/>
    <mergeCell ref="Q62:V62"/>
    <mergeCell ref="Q67:V67"/>
    <mergeCell ref="Q68:V68"/>
    <mergeCell ref="Q69:V69"/>
    <mergeCell ref="Q70:V70"/>
    <mergeCell ref="Q94:V94"/>
    <mergeCell ref="Q95:V95"/>
    <mergeCell ref="Q96:V96"/>
    <mergeCell ref="Q97:V97"/>
    <mergeCell ref="Q98:V98"/>
    <mergeCell ref="Q89:V89"/>
    <mergeCell ref="Q90:V90"/>
    <mergeCell ref="Q91:V91"/>
    <mergeCell ref="Q92:V92"/>
    <mergeCell ref="Q93:V93"/>
    <mergeCell ref="Q104:V104"/>
    <mergeCell ref="Q105:V105"/>
    <mergeCell ref="Q106:V106"/>
    <mergeCell ref="Q107:V107"/>
    <mergeCell ref="Q108:V108"/>
    <mergeCell ref="Q99:V99"/>
    <mergeCell ref="Q100:V100"/>
    <mergeCell ref="Q101:V101"/>
    <mergeCell ref="Q102:V102"/>
    <mergeCell ref="Q103:V103"/>
    <mergeCell ref="Q114:V114"/>
    <mergeCell ref="Q115:V115"/>
    <mergeCell ref="Q116:V116"/>
    <mergeCell ref="Q117:V117"/>
    <mergeCell ref="Q118:V118"/>
    <mergeCell ref="Q109:V109"/>
    <mergeCell ref="Q110:V110"/>
    <mergeCell ref="Q111:V111"/>
    <mergeCell ref="Q112:V112"/>
    <mergeCell ref="Q113:V113"/>
    <mergeCell ref="Q124:V124"/>
    <mergeCell ref="Q125:V125"/>
    <mergeCell ref="Q126:V126"/>
    <mergeCell ref="Q127:V127"/>
    <mergeCell ref="Q128:V128"/>
    <mergeCell ref="Q119:V119"/>
    <mergeCell ref="Q120:V120"/>
    <mergeCell ref="Q121:V121"/>
    <mergeCell ref="Q122:V122"/>
    <mergeCell ref="Q123:V123"/>
    <mergeCell ref="Q134:V134"/>
    <mergeCell ref="Q135:V135"/>
    <mergeCell ref="Q136:V136"/>
    <mergeCell ref="Q137:V137"/>
    <mergeCell ref="Q138:V138"/>
    <mergeCell ref="Q129:V129"/>
    <mergeCell ref="Q130:V130"/>
    <mergeCell ref="Q131:V131"/>
    <mergeCell ref="Q132:V132"/>
    <mergeCell ref="Q133:V133"/>
    <mergeCell ref="Q144:V144"/>
    <mergeCell ref="Q145:V145"/>
    <mergeCell ref="Q146:V146"/>
    <mergeCell ref="Q147:V147"/>
    <mergeCell ref="Q148:V148"/>
    <mergeCell ref="Q139:V139"/>
    <mergeCell ref="Q140:V140"/>
    <mergeCell ref="Q141:V141"/>
    <mergeCell ref="Q142:V142"/>
    <mergeCell ref="Q143:V143"/>
    <mergeCell ref="Q154:V154"/>
    <mergeCell ref="Q155:V155"/>
    <mergeCell ref="Q156:V156"/>
    <mergeCell ref="Q157:V157"/>
    <mergeCell ref="Q158:V158"/>
    <mergeCell ref="Q149:V149"/>
    <mergeCell ref="Q150:V150"/>
    <mergeCell ref="Q151:V151"/>
    <mergeCell ref="Q152:V152"/>
    <mergeCell ref="Q153:V153"/>
    <mergeCell ref="Q164:V164"/>
    <mergeCell ref="Q165:V165"/>
    <mergeCell ref="Q166:V166"/>
    <mergeCell ref="Q167:V167"/>
    <mergeCell ref="Q168:V168"/>
    <mergeCell ref="Q159:V159"/>
    <mergeCell ref="Q160:V160"/>
    <mergeCell ref="Q161:V161"/>
    <mergeCell ref="Q162:V162"/>
    <mergeCell ref="Q163:V163"/>
    <mergeCell ref="Q174:V174"/>
    <mergeCell ref="Q175:V175"/>
    <mergeCell ref="Q176:V176"/>
    <mergeCell ref="Q177:V177"/>
    <mergeCell ref="Q178:V178"/>
    <mergeCell ref="Q169:V169"/>
    <mergeCell ref="Q170:V170"/>
    <mergeCell ref="Q171:V171"/>
    <mergeCell ref="Q172:V172"/>
    <mergeCell ref="Q173:V173"/>
    <mergeCell ref="Q184:V184"/>
    <mergeCell ref="Q185:V185"/>
    <mergeCell ref="Q186:V186"/>
    <mergeCell ref="Q187:V187"/>
    <mergeCell ref="Q188:V188"/>
    <mergeCell ref="Q179:V179"/>
    <mergeCell ref="Q180:V180"/>
    <mergeCell ref="Q181:V181"/>
    <mergeCell ref="Q182:V182"/>
    <mergeCell ref="Q183:V183"/>
    <mergeCell ref="Q202:V202"/>
    <mergeCell ref="Q203:V203"/>
    <mergeCell ref="Q194:V194"/>
    <mergeCell ref="Q195:V195"/>
    <mergeCell ref="Q196:V196"/>
    <mergeCell ref="Q197:V197"/>
    <mergeCell ref="Q198:V198"/>
    <mergeCell ref="Q189:V189"/>
    <mergeCell ref="Q190:V190"/>
    <mergeCell ref="Q191:V191"/>
    <mergeCell ref="Q192:V192"/>
    <mergeCell ref="Q193:V193"/>
    <mergeCell ref="Q209:V209"/>
    <mergeCell ref="Q210:V210"/>
    <mergeCell ref="Q37:V37"/>
    <mergeCell ref="Q38:V38"/>
    <mergeCell ref="Q39:V39"/>
    <mergeCell ref="Q40:V40"/>
    <mergeCell ref="Q41:V41"/>
    <mergeCell ref="Q42:V42"/>
    <mergeCell ref="Q43:V43"/>
    <mergeCell ref="Q44:V44"/>
    <mergeCell ref="Q45:V45"/>
    <mergeCell ref="Q46:V46"/>
    <mergeCell ref="Q47:V47"/>
    <mergeCell ref="Q48:V48"/>
    <mergeCell ref="Q49:V49"/>
    <mergeCell ref="Q50:V50"/>
    <mergeCell ref="Q204:V204"/>
    <mergeCell ref="Q205:V205"/>
    <mergeCell ref="Q206:V206"/>
    <mergeCell ref="Q207:V207"/>
    <mergeCell ref="Q208:V208"/>
    <mergeCell ref="Q199:V199"/>
    <mergeCell ref="Q200:V200"/>
    <mergeCell ref="Q201:V201"/>
  </mergeCells>
  <conditionalFormatting sqref="A10:P52 A54:P210 A53:B53 D53:P53">
    <cfRule type="expression" dxfId="197" priority="6466">
      <formula>$A10:$A210=$I$1</formula>
    </cfRule>
  </conditionalFormatting>
  <conditionalFormatting sqref="W77">
    <cfRule type="expression" dxfId="196" priority="6470">
      <formula>$A71:$A271=$V$2</formula>
    </cfRule>
  </conditionalFormatting>
  <pageMargins left="0.7" right="0.7" top="0.75" bottom="0.75" header="0.3" footer="0.3"/>
  <pageSetup paperSize="9" orientation="landscape" horizontalDpi="0" verticalDpi="0" r:id="rId15"/>
  <drawing r:id="rId16"/>
  <tableParts count="1">
    <tablePart r:id="rId17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Clients!$R$4:$R$6</xm:f>
          </x14:formula1>
          <xm:sqref>S7</xm:sqref>
        </x14:dataValidation>
        <x14:dataValidation type="list" allowBlank="1" showInputMessage="1" showErrorMessage="1">
          <x14:formula1>
            <xm:f>Clients!$P$3:$P$26</xm:f>
          </x14:formula1>
          <xm:sqref>B10:B210</xm:sqref>
        </x14:dataValidation>
      </x14:dataValidations>
    </ext>
    <ext xmlns:x14="http://schemas.microsoft.com/office/spreadsheetml/2009/9/main" uri="{A8765BA9-456A-4dab-B4F3-ACF838C121DE}">
      <x14:slicerList>
        <x14:slicer r:id="rId18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U114"/>
  <sheetViews>
    <sheetView zoomScaleNormal="100" workbookViewId="0">
      <selection activeCell="C21" sqref="C21:L21 G23:G25 C8:P8"/>
    </sheetView>
  </sheetViews>
  <sheetFormatPr baseColWidth="10" defaultRowHeight="12.75"/>
  <cols>
    <col min="1" max="1" width="3.5703125" style="208" customWidth="1"/>
    <col min="2" max="2" width="11.28515625" style="208" customWidth="1"/>
    <col min="3" max="4" width="8.140625" style="208" customWidth="1"/>
    <col min="5" max="5" width="7.28515625" style="208" customWidth="1"/>
    <col min="6" max="7" width="8.140625" style="208" customWidth="1"/>
    <col min="8" max="8" width="9.7109375" style="208" customWidth="1"/>
    <col min="9" max="9" width="8.5703125" style="208" customWidth="1"/>
    <col min="10" max="13" width="8.140625" style="208" customWidth="1"/>
    <col min="14" max="14" width="9.28515625" style="208" customWidth="1"/>
    <col min="15" max="16" width="8.140625" style="208" customWidth="1"/>
    <col min="17" max="17" width="11" style="208" customWidth="1"/>
    <col min="18" max="16384" width="11.42578125" style="208"/>
  </cols>
  <sheetData>
    <row r="1" spans="2:17" s="203" customFormat="1" ht="18" customHeight="1">
      <c r="B1" s="202"/>
      <c r="C1" s="202"/>
      <c r="D1" s="202"/>
      <c r="H1" s="548" t="s">
        <v>807</v>
      </c>
      <c r="I1" s="549"/>
      <c r="J1" s="544"/>
      <c r="K1" s="544"/>
      <c r="L1" s="545" t="s">
        <v>870</v>
      </c>
      <c r="M1" s="545"/>
      <c r="N1" s="204"/>
      <c r="O1" s="202"/>
      <c r="P1" s="202"/>
    </row>
    <row r="2" spans="2:17" ht="17.100000000000001" customHeight="1">
      <c r="B2" s="205"/>
      <c r="C2" s="206" t="s">
        <v>559</v>
      </c>
      <c r="D2" s="206" t="s">
        <v>808</v>
      </c>
      <c r="E2" s="207" t="s">
        <v>809</v>
      </c>
      <c r="F2" s="207" t="s">
        <v>1520</v>
      </c>
      <c r="G2" s="207" t="s">
        <v>1519</v>
      </c>
      <c r="H2" s="207" t="s">
        <v>810</v>
      </c>
      <c r="I2" s="207" t="s">
        <v>1153</v>
      </c>
      <c r="J2" s="207" t="s">
        <v>1500</v>
      </c>
      <c r="K2" s="207" t="s">
        <v>1499</v>
      </c>
      <c r="L2" s="207" t="s">
        <v>1154</v>
      </c>
      <c r="M2" s="207" t="s">
        <v>1150</v>
      </c>
      <c r="N2" s="207" t="s">
        <v>1149</v>
      </c>
      <c r="O2" s="207" t="s">
        <v>811</v>
      </c>
      <c r="P2" s="207" t="s">
        <v>812</v>
      </c>
      <c r="Q2" s="203"/>
    </row>
    <row r="3" spans="2:17" ht="17.100000000000001" customHeight="1">
      <c r="B3" s="209" t="s">
        <v>814</v>
      </c>
      <c r="C3" s="210"/>
      <c r="D3" s="210"/>
      <c r="E3" s="210"/>
      <c r="F3" s="210"/>
      <c r="G3" s="210"/>
      <c r="H3" s="210"/>
      <c r="I3" s="210"/>
      <c r="J3" s="210"/>
      <c r="K3" s="210"/>
      <c r="L3" s="210"/>
      <c r="M3" s="210"/>
      <c r="N3" s="210"/>
      <c r="O3" s="210"/>
      <c r="P3" s="211"/>
      <c r="Q3" s="212">
        <f>SUM(C3*C21)+(D3*D21)+(E3*E21)+(F3*F21)+(G3*G21)+(H3*H21)+(I3*I21)+(J3*J21)+(K3*K21)+(L3*L21)+(M3*G23)+(N3*G24)+(O3*G25)+P3</f>
        <v>0</v>
      </c>
    </row>
    <row r="4" spans="2:17" ht="17.100000000000001" customHeight="1">
      <c r="B4" s="213" t="s">
        <v>815</v>
      </c>
      <c r="C4" s="214"/>
      <c r="D4" s="214"/>
      <c r="E4" s="214"/>
      <c r="F4" s="214"/>
      <c r="G4" s="214"/>
      <c r="H4" s="214"/>
      <c r="I4" s="214"/>
      <c r="J4" s="214"/>
      <c r="K4" s="214"/>
      <c r="L4" s="214"/>
      <c r="M4" s="214"/>
      <c r="N4" s="214"/>
      <c r="O4" s="214"/>
      <c r="P4" s="214"/>
      <c r="Q4" s="215">
        <f>SUM(C4*C21)+(D4*D21)+(E4*E21)+(F4*F21)+(G4*G21)+(H4*H21)+(I4*I21)+(J4*J21)+(K4*K21)+(L4*L21)+(M4*G23)+(N4*G24)+(O4*G25)+P4</f>
        <v>0</v>
      </c>
    </row>
    <row r="5" spans="2:17" ht="17.100000000000001" customHeight="1">
      <c r="B5" s="216" t="s">
        <v>816</v>
      </c>
      <c r="C5" s="217"/>
      <c r="D5" s="217"/>
      <c r="E5" s="217"/>
      <c r="F5" s="217"/>
      <c r="G5" s="217"/>
      <c r="H5" s="217"/>
      <c r="I5" s="217"/>
      <c r="J5" s="218"/>
      <c r="K5" s="217"/>
      <c r="L5" s="217"/>
      <c r="M5" s="217"/>
      <c r="N5" s="217"/>
      <c r="O5" s="217"/>
      <c r="P5" s="217"/>
      <c r="Q5" s="219">
        <f>SUM(C5*C21)+(D5*D21)+(E5*E21)+(F5*F21)+(G5*G21)+(H5*H21)+(I5*I21)+(J5*J21)+(K5*K21)+(L5*L21)+(M5*G23)+(N5*G24)+(O5*G25)+P5</f>
        <v>0</v>
      </c>
    </row>
    <row r="6" spans="2:17" ht="17.100000000000001" customHeight="1">
      <c r="B6" s="209" t="s">
        <v>817</v>
      </c>
      <c r="C6" s="210"/>
      <c r="D6" s="210"/>
      <c r="E6" s="210"/>
      <c r="F6" s="210"/>
      <c r="G6" s="210"/>
      <c r="H6" s="210"/>
      <c r="I6" s="210"/>
      <c r="J6" s="210"/>
      <c r="K6" s="210"/>
      <c r="L6" s="210"/>
      <c r="M6" s="210"/>
      <c r="N6" s="210"/>
      <c r="O6" s="210"/>
      <c r="P6" s="210"/>
      <c r="Q6" s="212">
        <f>SUM(C6*C21)+(D6*D21)+(E6*E21)+(F6*F21)+(G6*G21)+(H6*H21)+(I6*I21)+(J6*J21)+(K6*K21)+(L6*L21)+(M6*G23)+(N6*G24)+(O6*G25)+P6</f>
        <v>0</v>
      </c>
    </row>
    <row r="7" spans="2:17" ht="17.100000000000001" customHeight="1">
      <c r="B7" s="213" t="s">
        <v>818</v>
      </c>
      <c r="C7" s="214"/>
      <c r="D7" s="214"/>
      <c r="E7" s="214"/>
      <c r="F7" s="214"/>
      <c r="G7" s="214"/>
      <c r="H7" s="214"/>
      <c r="I7" s="214"/>
      <c r="J7" s="214"/>
      <c r="K7" s="214"/>
      <c r="L7" s="214"/>
      <c r="M7" s="214"/>
      <c r="N7" s="214"/>
      <c r="O7" s="214"/>
      <c r="P7" s="214"/>
      <c r="Q7" s="215">
        <f>SUM(C7*C21)+(D7*D21)+(E7*E21)+(F7*F21)+(G7*G21)+(H7*H21)+(I7*I21)+(J7*J21)+(K7*K21)+(L7*L21)+(M7*G23)+(N7*G24)+(O7*G25)+P7</f>
        <v>0</v>
      </c>
    </row>
    <row r="8" spans="2:17" ht="17.100000000000001" customHeight="1">
      <c r="B8" s="216" t="s">
        <v>819</v>
      </c>
      <c r="C8" s="217"/>
      <c r="D8" s="217"/>
      <c r="E8" s="217"/>
      <c r="F8" s="217"/>
      <c r="G8" s="217"/>
      <c r="H8" s="217"/>
      <c r="I8" s="217"/>
      <c r="J8" s="217"/>
      <c r="K8" s="217"/>
      <c r="L8" s="217"/>
      <c r="M8" s="217"/>
      <c r="N8" s="217"/>
      <c r="O8" s="217"/>
      <c r="P8" s="217"/>
      <c r="Q8" s="219">
        <f>SUM(C8*C21)+(D8*D21)+(E8*E21)+(F8*F21)+(G8*G21)+(H8*H21)+(I8*I21)+(J8*J21)+(K8*K21)+(L8*L21)+(M8*G23)+(N8*G24)+(O8*G25)+P8</f>
        <v>0</v>
      </c>
    </row>
    <row r="9" spans="2:17" ht="17.100000000000001" customHeight="1">
      <c r="B9" s="209" t="s">
        <v>820</v>
      </c>
      <c r="C9" s="210"/>
      <c r="D9" s="210"/>
      <c r="E9" s="210"/>
      <c r="F9" s="210"/>
      <c r="G9" s="210"/>
      <c r="H9" s="210"/>
      <c r="I9" s="210"/>
      <c r="J9" s="220"/>
      <c r="K9" s="210"/>
      <c r="L9" s="210"/>
      <c r="M9" s="210"/>
      <c r="N9" s="210"/>
      <c r="O9" s="210"/>
      <c r="P9" s="210"/>
      <c r="Q9" s="212">
        <f>SUM(C9*C21)+(D9*D21)+(E9*E21)+(F9*F21)+(G9*G21)+(H9*H21)+(I9*I21)+(J9*J21)+(K9*K21)+(L9*L21)+(M9*G23)+(N9*G24)+(O9*G25)+P9</f>
        <v>0</v>
      </c>
    </row>
    <row r="10" spans="2:17" ht="17.100000000000001" customHeight="1">
      <c r="B10" s="213" t="s">
        <v>821</v>
      </c>
      <c r="C10" s="214"/>
      <c r="D10" s="214"/>
      <c r="E10" s="214"/>
      <c r="F10" s="214"/>
      <c r="G10" s="214"/>
      <c r="H10" s="214"/>
      <c r="I10" s="214"/>
      <c r="J10" s="214"/>
      <c r="K10" s="214"/>
      <c r="L10" s="214"/>
      <c r="M10" s="214"/>
      <c r="N10" s="214"/>
      <c r="O10" s="214"/>
      <c r="P10" s="214"/>
      <c r="Q10" s="215">
        <f>SUM(C10*C21)+(D10*D21)+(E10*E21)+(F10*F21)+(G10*G21)+(H10*H21)+(I10*I21)+(J10*J21)+(K10*K21)+(L10*L21)+(M10*G23)+(N10*G24)+(O10*G25)+P10</f>
        <v>0</v>
      </c>
    </row>
    <row r="11" spans="2:17" ht="17.100000000000001" customHeight="1">
      <c r="B11" s="216" t="s">
        <v>822</v>
      </c>
      <c r="C11" s="217"/>
      <c r="D11" s="217"/>
      <c r="E11" s="217"/>
      <c r="F11" s="217"/>
      <c r="G11" s="217"/>
      <c r="H11" s="217"/>
      <c r="I11" s="217"/>
      <c r="J11" s="217"/>
      <c r="K11" s="217"/>
      <c r="L11" s="217"/>
      <c r="M11" s="217"/>
      <c r="N11" s="217"/>
      <c r="O11" s="217"/>
      <c r="P11" s="217"/>
      <c r="Q11" s="219">
        <f>SUM(C11*C21)+(D11*D21)+(E11*E21)+(F11*F21)+(G11*G21)+(H11*H21)+(I11*I21)+(J11*J21)+(K11*K21)+(L11*L21)+(M11*G23)+(N11*G24)+(O11*G25)+P11</f>
        <v>0</v>
      </c>
    </row>
    <row r="12" spans="2:17" ht="17.100000000000001" customHeight="1">
      <c r="B12" s="209" t="s">
        <v>823</v>
      </c>
      <c r="C12" s="210"/>
      <c r="D12" s="210"/>
      <c r="E12" s="210"/>
      <c r="F12" s="210"/>
      <c r="G12" s="210"/>
      <c r="H12" s="210"/>
      <c r="I12" s="210"/>
      <c r="J12" s="210"/>
      <c r="K12" s="210"/>
      <c r="L12" s="210"/>
      <c r="M12" s="210"/>
      <c r="N12" s="210"/>
      <c r="O12" s="210"/>
      <c r="P12" s="210"/>
      <c r="Q12" s="212">
        <f>SUM(C12*C21)+(D12*D21)+(E12*E21)+(F12*F21)+(G12*G21)+(H12*H21)+(I12*I21)+(J12*J21)+(K12*K21)+(L12*L21)+(M12*G23)+(N12*G24)+(O12*G25)+P12</f>
        <v>0</v>
      </c>
    </row>
    <row r="13" spans="2:17" ht="17.100000000000001" customHeight="1">
      <c r="B13" s="213" t="s">
        <v>824</v>
      </c>
      <c r="C13" s="214"/>
      <c r="D13" s="214"/>
      <c r="E13" s="214"/>
      <c r="F13" s="214"/>
      <c r="G13" s="214"/>
      <c r="H13" s="214"/>
      <c r="I13" s="214"/>
      <c r="J13" s="214"/>
      <c r="K13" s="214"/>
      <c r="L13" s="214"/>
      <c r="M13" s="214"/>
      <c r="N13" s="214"/>
      <c r="O13" s="214"/>
      <c r="P13" s="214"/>
      <c r="Q13" s="215">
        <f>SUM(C13*C21)+(D13*D21)+(E13*E21)+(F13*F21)+(G13*G21)+(H13*H21)+(I13*I21)+(J13*J21)+(K13*K21)+(L13*L21)+(M13*G23)+(N13*G24)+(O13*G25)+P13</f>
        <v>0</v>
      </c>
    </row>
    <row r="14" spans="2:17" ht="17.100000000000001" customHeight="1">
      <c r="B14" s="216" t="s">
        <v>813</v>
      </c>
      <c r="C14" s="217"/>
      <c r="D14" s="217"/>
      <c r="E14" s="217"/>
      <c r="F14" s="217"/>
      <c r="G14" s="217"/>
      <c r="H14" s="217"/>
      <c r="I14" s="217"/>
      <c r="J14" s="217"/>
      <c r="K14" s="217"/>
      <c r="L14" s="217"/>
      <c r="M14" s="217"/>
      <c r="N14" s="217"/>
      <c r="O14" s="217"/>
      <c r="P14" s="217"/>
      <c r="Q14" s="219">
        <f>SUM(C14*C21)+(D14*D21)+(E14*E21)+(F14*F21)+(G14*G21)+(H14*H21)+(I14*I21)+(J14*J21)+(K14*K21)+(L14*L21)+(M14*G23)+(N14*G24)+(O14*G25)+P14</f>
        <v>0</v>
      </c>
    </row>
    <row r="15" spans="2:17" ht="17.100000000000001" customHeight="1">
      <c r="B15" s="209" t="s">
        <v>814</v>
      </c>
      <c r="C15" s="210"/>
      <c r="D15" s="210"/>
      <c r="E15" s="210"/>
      <c r="F15" s="210"/>
      <c r="G15" s="210"/>
      <c r="H15" s="210"/>
      <c r="I15" s="210"/>
      <c r="J15" s="210"/>
      <c r="K15" s="210"/>
      <c r="L15" s="210"/>
      <c r="M15" s="210"/>
      <c r="N15" s="210"/>
      <c r="O15" s="210"/>
      <c r="P15" s="210"/>
      <c r="Q15" s="212">
        <f>SUM(C15*C21)+(D15*D21)+(E15*E21)+(F15*F21)+(G15*G21)+(H15*H21)+(I15*I21)+(J15*J21)+(K15*K21)+(L15*L21)+(M15*G23)+(N15*G24)+(O15*G25)+P15</f>
        <v>0</v>
      </c>
    </row>
    <row r="16" spans="2:17" ht="17.100000000000001" customHeight="1">
      <c r="B16" s="213" t="s">
        <v>815</v>
      </c>
      <c r="C16" s="214"/>
      <c r="D16" s="214"/>
      <c r="E16" s="214"/>
      <c r="F16" s="214"/>
      <c r="G16" s="214"/>
      <c r="H16" s="214"/>
      <c r="I16" s="214"/>
      <c r="J16" s="214"/>
      <c r="K16" s="214"/>
      <c r="L16" s="214"/>
      <c r="M16" s="214"/>
      <c r="N16" s="214"/>
      <c r="O16" s="214"/>
      <c r="P16" s="214"/>
      <c r="Q16" s="215">
        <f>SUM(C16*C21)+(D16*D21)+(E16*E21)+(F16*F21)+(G16*G21)+(H16*H21)+(I16*I21)+(J16*J21)+(K16*K21)+(L16*L21)+(M16*G23)+(N16*G24)+(O16*G25)+P16</f>
        <v>0</v>
      </c>
    </row>
    <row r="17" spans="2:21" ht="17.100000000000001" customHeight="1">
      <c r="B17" s="216" t="s">
        <v>816</v>
      </c>
      <c r="C17" s="217"/>
      <c r="D17" s="217"/>
      <c r="E17" s="217"/>
      <c r="F17" s="217"/>
      <c r="G17" s="217"/>
      <c r="H17" s="217"/>
      <c r="I17" s="217"/>
      <c r="J17" s="217"/>
      <c r="K17" s="217"/>
      <c r="L17" s="217"/>
      <c r="M17" s="217"/>
      <c r="N17" s="217"/>
      <c r="O17" s="217"/>
      <c r="P17" s="217"/>
      <c r="Q17" s="219">
        <f>SUM(C17*C21)+(D17*D21)+(E17*E21)+(F17*F21)+(G17*G21)+(H17*H21)+(I17*I21)+(J17*J21)+(K17*K21)+(L17*L21)+(M17*G23)+(N17*G24)+(O17*G25)+P17</f>
        <v>0</v>
      </c>
    </row>
    <row r="18" spans="2:21" ht="17.100000000000001" customHeight="1">
      <c r="B18" s="209" t="s">
        <v>817</v>
      </c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0"/>
      <c r="N18" s="210"/>
      <c r="O18" s="210"/>
      <c r="P18" s="210"/>
      <c r="Q18" s="212">
        <f>SUM(C18*C21)+(D18*D21)+(E18*E21)+(F18*F21)+(G18*G21)+(H18*H21)+(I18*I21)+(J18*J21)+(K18*K21)+(L18*L21)+(M18*G23)+(N18*G24)+(O18*G25)+P18</f>
        <v>0</v>
      </c>
    </row>
    <row r="19" spans="2:21" ht="17.100000000000001" customHeight="1">
      <c r="B19" s="221"/>
      <c r="C19" s="222"/>
      <c r="D19" s="222"/>
      <c r="E19" s="222"/>
      <c r="F19" s="222"/>
      <c r="G19" s="222"/>
      <c r="H19" s="222"/>
      <c r="I19" s="222"/>
      <c r="J19" s="222"/>
      <c r="K19" s="222"/>
      <c r="L19" s="222"/>
      <c r="M19" s="222"/>
      <c r="N19" s="223"/>
      <c r="O19" s="223"/>
      <c r="P19" s="222"/>
      <c r="Q19" s="224">
        <f>SUM(Q3:Q18)</f>
        <v>0</v>
      </c>
    </row>
    <row r="20" spans="2:21" ht="14.1" customHeight="1">
      <c r="B20" s="225" t="s">
        <v>825</v>
      </c>
      <c r="C20" s="226">
        <f t="shared" ref="C20:P20" si="0">SUM(C3:C18)</f>
        <v>0</v>
      </c>
      <c r="D20" s="226">
        <f t="shared" si="0"/>
        <v>0</v>
      </c>
      <c r="E20" s="226">
        <f t="shared" si="0"/>
        <v>0</v>
      </c>
      <c r="F20" s="226">
        <f t="shared" si="0"/>
        <v>0</v>
      </c>
      <c r="G20" s="226">
        <f t="shared" si="0"/>
        <v>0</v>
      </c>
      <c r="H20" s="226">
        <f t="shared" si="0"/>
        <v>0</v>
      </c>
      <c r="I20" s="226">
        <f t="shared" si="0"/>
        <v>0</v>
      </c>
      <c r="J20" s="226">
        <f t="shared" si="0"/>
        <v>0</v>
      </c>
      <c r="K20" s="226">
        <f t="shared" si="0"/>
        <v>0</v>
      </c>
      <c r="L20" s="226">
        <f t="shared" si="0"/>
        <v>0</v>
      </c>
      <c r="M20" s="226">
        <f>SUM(M3:M18)</f>
        <v>0</v>
      </c>
      <c r="N20" s="226">
        <f>SUM(N3:N18)</f>
        <v>0</v>
      </c>
      <c r="O20" s="226">
        <f t="shared" si="0"/>
        <v>0</v>
      </c>
      <c r="P20" s="226">
        <f t="shared" si="0"/>
        <v>0</v>
      </c>
      <c r="Q20" s="224">
        <f>SUM(C22:P22)</f>
        <v>0</v>
      </c>
    </row>
    <row r="21" spans="2:21" ht="14.1" customHeight="1">
      <c r="B21" s="225" t="s">
        <v>826</v>
      </c>
      <c r="C21" s="226">
        <v>1.3</v>
      </c>
      <c r="D21" s="226">
        <v>1.3</v>
      </c>
      <c r="E21" s="226">
        <v>1.3</v>
      </c>
      <c r="F21" s="226">
        <v>1.4</v>
      </c>
      <c r="G21" s="226">
        <v>1.3</v>
      </c>
      <c r="H21" s="226">
        <v>1.3</v>
      </c>
      <c r="I21" s="226">
        <v>1.3</v>
      </c>
      <c r="J21" s="226">
        <v>1.3</v>
      </c>
      <c r="K21" s="226">
        <v>1.3</v>
      </c>
      <c r="L21" s="226">
        <v>1.1000000000000001</v>
      </c>
      <c r="M21" s="226">
        <f>G23</f>
        <v>45</v>
      </c>
      <c r="N21" s="226">
        <f>G24</f>
        <v>40</v>
      </c>
      <c r="O21" s="226">
        <f>G25</f>
        <v>40</v>
      </c>
      <c r="P21" s="226"/>
      <c r="Q21" s="227">
        <f>Q20*Q23/100</f>
        <v>0</v>
      </c>
    </row>
    <row r="22" spans="2:21" ht="14.1" customHeight="1">
      <c r="B22" s="225" t="s">
        <v>827</v>
      </c>
      <c r="C22" s="226">
        <f>C20*C21</f>
        <v>0</v>
      </c>
      <c r="D22" s="226">
        <f t="shared" ref="D22:O22" si="1">D20*D21</f>
        <v>0</v>
      </c>
      <c r="E22" s="226">
        <f t="shared" si="1"/>
        <v>0</v>
      </c>
      <c r="F22" s="226">
        <f t="shared" si="1"/>
        <v>0</v>
      </c>
      <c r="G22" s="226">
        <f t="shared" si="1"/>
        <v>0</v>
      </c>
      <c r="H22" s="226">
        <f t="shared" si="1"/>
        <v>0</v>
      </c>
      <c r="I22" s="226">
        <f t="shared" si="1"/>
        <v>0</v>
      </c>
      <c r="J22" s="226">
        <f t="shared" si="1"/>
        <v>0</v>
      </c>
      <c r="K22" s="226">
        <f t="shared" si="1"/>
        <v>0</v>
      </c>
      <c r="L22" s="226">
        <f t="shared" si="1"/>
        <v>0</v>
      </c>
      <c r="M22" s="228">
        <f t="shared" si="1"/>
        <v>0</v>
      </c>
      <c r="N22" s="228">
        <f t="shared" si="1"/>
        <v>0</v>
      </c>
      <c r="O22" s="228">
        <f t="shared" si="1"/>
        <v>0</v>
      </c>
      <c r="P22" s="228">
        <f>P20</f>
        <v>0</v>
      </c>
      <c r="Q22" s="224">
        <f>Q20+Q21</f>
        <v>0</v>
      </c>
    </row>
    <row r="23" spans="2:21" ht="18" customHeight="1">
      <c r="F23" s="229" t="s">
        <v>828</v>
      </c>
      <c r="G23" s="230">
        <v>45</v>
      </c>
      <c r="M23" s="231">
        <f>M22+N22+O22+P22</f>
        <v>0</v>
      </c>
      <c r="N23" s="550" t="s">
        <v>829</v>
      </c>
      <c r="O23" s="551"/>
      <c r="P23" s="232">
        <v>2</v>
      </c>
      <c r="Q23" s="233">
        <f>IF(P23=1,5.5,IF(P23=2,10,IF(P23=3,20)))</f>
        <v>10</v>
      </c>
    </row>
    <row r="24" spans="2:21" ht="18" customHeight="1">
      <c r="E24" s="234"/>
      <c r="F24" s="235" t="s">
        <v>1149</v>
      </c>
      <c r="G24" s="236">
        <v>40</v>
      </c>
      <c r="H24" s="546"/>
      <c r="I24" s="547"/>
      <c r="J24" s="237"/>
      <c r="K24" s="237"/>
      <c r="S24" s="543"/>
      <c r="T24" s="543"/>
      <c r="U24" s="543"/>
    </row>
    <row r="25" spans="2:21" ht="18" customHeight="1">
      <c r="F25" s="238" t="s">
        <v>811</v>
      </c>
      <c r="G25" s="239">
        <v>40</v>
      </c>
      <c r="H25" s="546"/>
      <c r="I25" s="547"/>
      <c r="J25" s="237"/>
      <c r="K25" s="237"/>
      <c r="N25" s="240"/>
      <c r="O25" s="241"/>
    </row>
    <row r="26" spans="2:21" ht="18" customHeight="1">
      <c r="E26" s="234"/>
      <c r="H26" s="237"/>
      <c r="I26" s="237"/>
      <c r="J26" s="237"/>
      <c r="K26" s="237"/>
      <c r="N26" s="240"/>
      <c r="O26" s="241"/>
      <c r="Q26" s="242"/>
    </row>
    <row r="27" spans="2:21" ht="20.100000000000001" customHeight="1">
      <c r="N27" s="240"/>
      <c r="O27" s="241"/>
    </row>
    <row r="28" spans="2:21" ht="20.100000000000001" customHeight="1"/>
    <row r="29" spans="2:21" ht="20.100000000000001" customHeight="1"/>
    <row r="30" spans="2:21" ht="20.100000000000001" customHeight="1"/>
    <row r="31" spans="2:21" ht="20.100000000000001" customHeight="1"/>
    <row r="32" spans="2:21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</sheetData>
  <sheetProtection algorithmName="SHA-512" hashValue="DYBtbECAFWCZHa0tQemysQ6OrZn04MmrVbfwY502dsvKRqWfGGCWTFYmV5/FV3sJYxSL6gWSkWCTlfjU0C8NRA==" saltValue="69E2Ui19LUwbksJK5Awt8Q==" spinCount="100000" sheet="1" objects="1" scenarios="1"/>
  <mergeCells count="7">
    <mergeCell ref="S24:U24"/>
    <mergeCell ref="J1:K1"/>
    <mergeCell ref="L1:M1"/>
    <mergeCell ref="H24:I24"/>
    <mergeCell ref="H25:I25"/>
    <mergeCell ref="H1:I1"/>
    <mergeCell ref="N23:O23"/>
  </mergeCells>
  <pageMargins left="0" right="0" top="0" bottom="0" header="0.31496062992125984" footer="0.39370078740157483"/>
  <pageSetup paperSize="9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35"/>
  <sheetViews>
    <sheetView workbookViewId="0">
      <selection activeCell="K4" sqref="K4"/>
    </sheetView>
  </sheetViews>
  <sheetFormatPr baseColWidth="10" defaultRowHeight="12.75"/>
  <cols>
    <col min="1" max="1" width="2.85546875" style="243" customWidth="1"/>
    <col min="2" max="8" width="8.85546875" style="243" customWidth="1"/>
    <col min="9" max="10" width="11.42578125" style="243"/>
    <col min="11" max="11" width="7.42578125" style="243" customWidth="1"/>
    <col min="12" max="16384" width="11.42578125" style="243"/>
  </cols>
  <sheetData>
    <row r="1" spans="1:12">
      <c r="B1" s="552" t="s">
        <v>830</v>
      </c>
      <c r="C1" s="552" t="s">
        <v>841</v>
      </c>
      <c r="D1" s="552" t="s">
        <v>831</v>
      </c>
      <c r="E1" s="552" t="s">
        <v>832</v>
      </c>
      <c r="F1" s="554" t="s">
        <v>833</v>
      </c>
      <c r="G1" s="552" t="s">
        <v>834</v>
      </c>
      <c r="H1" s="244"/>
    </row>
    <row r="2" spans="1:12">
      <c r="B2" s="553"/>
      <c r="C2" s="553"/>
      <c r="D2" s="553"/>
      <c r="E2" s="553"/>
      <c r="F2" s="553"/>
      <c r="G2" s="553"/>
    </row>
    <row r="3" spans="1:12">
      <c r="A3" s="245">
        <v>1</v>
      </c>
      <c r="B3" s="245">
        <v>34</v>
      </c>
      <c r="C3" s="245">
        <v>151</v>
      </c>
      <c r="D3" s="245">
        <v>2350</v>
      </c>
      <c r="E3" s="245">
        <v>1</v>
      </c>
      <c r="F3" s="246">
        <f>E3*C3*D3*B3/1000000000</f>
        <v>1.20649E-2</v>
      </c>
      <c r="G3" s="247">
        <f>F3*K4</f>
        <v>9.8932179999999992</v>
      </c>
      <c r="H3" s="248"/>
    </row>
    <row r="4" spans="1:12">
      <c r="A4" s="245">
        <v>2</v>
      </c>
      <c r="B4" s="245">
        <v>34</v>
      </c>
      <c r="C4" s="245">
        <v>138</v>
      </c>
      <c r="D4" s="245">
        <v>2350</v>
      </c>
      <c r="E4" s="245">
        <v>1</v>
      </c>
      <c r="F4" s="246">
        <f t="shared" ref="F4:F31" si="0">E4*C4*D4*B4/1000000000</f>
        <v>1.10262E-2</v>
      </c>
      <c r="G4" s="247">
        <f>F4*K4</f>
        <v>9.0414840000000005</v>
      </c>
      <c r="H4" s="555" t="s">
        <v>835</v>
      </c>
      <c r="I4" s="556"/>
      <c r="J4" s="556"/>
      <c r="K4" s="249">
        <v>820</v>
      </c>
      <c r="L4" s="250">
        <v>40451</v>
      </c>
    </row>
    <row r="5" spans="1:12">
      <c r="A5" s="245">
        <v>3</v>
      </c>
      <c r="B5" s="245">
        <v>34</v>
      </c>
      <c r="C5" s="245">
        <v>151</v>
      </c>
      <c r="D5" s="245">
        <v>1450</v>
      </c>
      <c r="E5" s="245">
        <v>1</v>
      </c>
      <c r="F5" s="246">
        <f t="shared" si="0"/>
        <v>7.4443E-3</v>
      </c>
      <c r="G5" s="247">
        <f>F5*K4</f>
        <v>6.1043260000000004</v>
      </c>
      <c r="H5" s="555" t="s">
        <v>844</v>
      </c>
      <c r="I5" s="556"/>
      <c r="J5" s="556"/>
      <c r="K5" s="251">
        <v>600</v>
      </c>
      <c r="L5" s="250">
        <v>40550</v>
      </c>
    </row>
    <row r="6" spans="1:12">
      <c r="A6" s="245">
        <v>4</v>
      </c>
      <c r="B6" s="245">
        <v>34</v>
      </c>
      <c r="C6" s="245">
        <v>171</v>
      </c>
      <c r="D6" s="245">
        <v>2350</v>
      </c>
      <c r="E6" s="245">
        <v>1</v>
      </c>
      <c r="F6" s="246">
        <f t="shared" si="0"/>
        <v>1.36629E-2</v>
      </c>
      <c r="G6" s="247">
        <f>F6*K4</f>
        <v>11.203578</v>
      </c>
      <c r="H6" s="555" t="s">
        <v>845</v>
      </c>
      <c r="I6" s="556"/>
      <c r="J6" s="556"/>
      <c r="K6" s="251">
        <v>800</v>
      </c>
      <c r="L6" s="250">
        <v>40313</v>
      </c>
    </row>
    <row r="7" spans="1:12">
      <c r="A7" s="245">
        <v>5</v>
      </c>
      <c r="B7" s="245">
        <v>34</v>
      </c>
      <c r="C7" s="245">
        <v>156</v>
      </c>
      <c r="D7" s="245">
        <v>2350</v>
      </c>
      <c r="E7" s="245">
        <v>1</v>
      </c>
      <c r="F7" s="246">
        <f t="shared" si="0"/>
        <v>1.24644E-2</v>
      </c>
      <c r="G7" s="247">
        <f>F7*K4</f>
        <v>10.220808</v>
      </c>
      <c r="H7" s="555"/>
      <c r="I7" s="556"/>
      <c r="J7" s="556"/>
      <c r="K7" s="251"/>
    </row>
    <row r="8" spans="1:12">
      <c r="A8" s="245">
        <v>6</v>
      </c>
      <c r="B8" s="245">
        <v>34</v>
      </c>
      <c r="C8" s="245">
        <v>171</v>
      </c>
      <c r="D8" s="245">
        <v>1450</v>
      </c>
      <c r="E8" s="245">
        <v>1</v>
      </c>
      <c r="F8" s="246">
        <f t="shared" si="0"/>
        <v>8.4302999999999999E-3</v>
      </c>
      <c r="G8" s="247">
        <f>F8*K4</f>
        <v>6.912846</v>
      </c>
      <c r="H8" s="252"/>
    </row>
    <row r="9" spans="1:12">
      <c r="A9" s="245">
        <v>7</v>
      </c>
      <c r="B9" s="245">
        <v>34</v>
      </c>
      <c r="C9" s="245">
        <v>140</v>
      </c>
      <c r="D9" s="245">
        <v>2350</v>
      </c>
      <c r="E9" s="245">
        <v>2</v>
      </c>
      <c r="F9" s="246">
        <f t="shared" si="0"/>
        <v>2.2372E-2</v>
      </c>
      <c r="G9" s="247">
        <f>F9*K4</f>
        <v>18.345040000000001</v>
      </c>
      <c r="H9" s="252"/>
    </row>
    <row r="10" spans="1:12">
      <c r="A10" s="245">
        <v>8</v>
      </c>
      <c r="B10" s="245">
        <v>34</v>
      </c>
      <c r="C10" s="245">
        <v>140</v>
      </c>
      <c r="D10" s="245">
        <v>1450</v>
      </c>
      <c r="E10" s="245">
        <v>1</v>
      </c>
      <c r="F10" s="246">
        <f t="shared" si="0"/>
        <v>6.9020000000000001E-3</v>
      </c>
      <c r="G10" s="247">
        <f>F10*K4</f>
        <v>5.6596400000000004</v>
      </c>
      <c r="H10" s="252"/>
    </row>
    <row r="11" spans="1:12">
      <c r="A11" s="245">
        <v>9</v>
      </c>
      <c r="B11" s="245"/>
      <c r="C11" s="245"/>
      <c r="D11" s="245"/>
      <c r="E11" s="245"/>
      <c r="F11" s="246">
        <f t="shared" si="0"/>
        <v>0</v>
      </c>
      <c r="G11" s="247">
        <f>F11*K4</f>
        <v>0</v>
      </c>
      <c r="H11" s="252"/>
    </row>
    <row r="12" spans="1:12">
      <c r="A12" s="245">
        <v>10</v>
      </c>
      <c r="B12" s="245"/>
      <c r="C12" s="245"/>
      <c r="D12" s="245"/>
      <c r="E12" s="245"/>
      <c r="F12" s="246">
        <f t="shared" si="0"/>
        <v>0</v>
      </c>
      <c r="G12" s="247">
        <f>F12*K4</f>
        <v>0</v>
      </c>
      <c r="H12" s="252"/>
    </row>
    <row r="13" spans="1:12">
      <c r="A13" s="245">
        <v>11</v>
      </c>
      <c r="B13" s="245"/>
      <c r="C13" s="245"/>
      <c r="D13" s="245"/>
      <c r="E13" s="245"/>
      <c r="F13" s="246">
        <f t="shared" si="0"/>
        <v>0</v>
      </c>
      <c r="G13" s="247">
        <f>F13*K4</f>
        <v>0</v>
      </c>
      <c r="H13" s="252"/>
    </row>
    <row r="14" spans="1:12">
      <c r="A14" s="245">
        <v>12</v>
      </c>
      <c r="B14" s="245"/>
      <c r="C14" s="245"/>
      <c r="D14" s="245"/>
      <c r="E14" s="245"/>
      <c r="F14" s="246">
        <f t="shared" si="0"/>
        <v>0</v>
      </c>
      <c r="G14" s="247">
        <f>F14*K4</f>
        <v>0</v>
      </c>
      <c r="H14" s="252"/>
    </row>
    <row r="15" spans="1:12">
      <c r="A15" s="245">
        <v>13</v>
      </c>
      <c r="B15" s="245"/>
      <c r="C15" s="245"/>
      <c r="D15" s="245"/>
      <c r="E15" s="245"/>
      <c r="F15" s="246">
        <f t="shared" si="0"/>
        <v>0</v>
      </c>
      <c r="G15" s="247">
        <f>F15*K4</f>
        <v>0</v>
      </c>
      <c r="H15" s="252"/>
    </row>
    <row r="16" spans="1:12">
      <c r="A16" s="245">
        <v>33</v>
      </c>
      <c r="B16" s="245"/>
      <c r="C16" s="245"/>
      <c r="D16" s="245"/>
      <c r="E16" s="245"/>
      <c r="F16" s="246">
        <f t="shared" si="0"/>
        <v>0</v>
      </c>
      <c r="G16" s="247">
        <f>F16*K4</f>
        <v>0</v>
      </c>
      <c r="H16" s="252"/>
      <c r="I16" s="253"/>
      <c r="J16" s="253"/>
    </row>
    <row r="17" spans="1:10">
      <c r="A17" s="245">
        <v>34</v>
      </c>
      <c r="B17" s="245"/>
      <c r="C17" s="245"/>
      <c r="D17" s="245"/>
      <c r="E17" s="245"/>
      <c r="F17" s="246">
        <f t="shared" si="0"/>
        <v>0</v>
      </c>
      <c r="G17" s="247">
        <f>F17*K4</f>
        <v>0</v>
      </c>
      <c r="H17" s="252"/>
      <c r="I17" s="253"/>
      <c r="J17" s="253"/>
    </row>
    <row r="18" spans="1:10">
      <c r="A18" s="245">
        <v>35</v>
      </c>
      <c r="B18" s="245"/>
      <c r="C18" s="245"/>
      <c r="D18" s="245"/>
      <c r="E18" s="245"/>
      <c r="F18" s="246">
        <f t="shared" si="0"/>
        <v>0</v>
      </c>
      <c r="G18" s="247">
        <f>F18*K4</f>
        <v>0</v>
      </c>
      <c r="H18" s="252"/>
      <c r="I18" s="253"/>
      <c r="J18" s="253"/>
    </row>
    <row r="19" spans="1:10">
      <c r="A19" s="245">
        <v>32.346153846153904</v>
      </c>
      <c r="B19" s="245"/>
      <c r="C19" s="245"/>
      <c r="D19" s="245"/>
      <c r="E19" s="245"/>
      <c r="F19" s="246">
        <f t="shared" si="0"/>
        <v>0</v>
      </c>
      <c r="G19" s="247">
        <f>F19*K4</f>
        <v>0</v>
      </c>
      <c r="H19" s="252"/>
      <c r="I19" s="253"/>
      <c r="J19" s="253"/>
    </row>
    <row r="20" spans="1:10">
      <c r="A20" s="245">
        <v>34.912087912087898</v>
      </c>
      <c r="B20" s="245"/>
      <c r="C20" s="245"/>
      <c r="D20" s="245"/>
      <c r="E20" s="245"/>
      <c r="F20" s="246">
        <f t="shared" si="0"/>
        <v>0</v>
      </c>
      <c r="G20" s="247">
        <f>F20*K4</f>
        <v>0</v>
      </c>
      <c r="H20" s="252"/>
      <c r="I20" s="253"/>
      <c r="J20" s="253"/>
    </row>
    <row r="21" spans="1:10">
      <c r="A21" s="245">
        <v>37.478021978021999</v>
      </c>
      <c r="B21" s="245"/>
      <c r="C21" s="245"/>
      <c r="D21" s="245"/>
      <c r="E21" s="245"/>
      <c r="F21" s="246">
        <f t="shared" si="0"/>
        <v>0</v>
      </c>
      <c r="G21" s="247">
        <f>F21*K4</f>
        <v>0</v>
      </c>
      <c r="H21" s="252"/>
    </row>
    <row r="22" spans="1:10">
      <c r="A22" s="245">
        <v>40.043956043956101</v>
      </c>
      <c r="B22" s="245"/>
      <c r="C22" s="245"/>
      <c r="D22" s="245"/>
      <c r="E22" s="245"/>
      <c r="F22" s="246">
        <f t="shared" si="0"/>
        <v>0</v>
      </c>
      <c r="G22" s="247">
        <f>F22*K4</f>
        <v>0</v>
      </c>
      <c r="H22" s="252"/>
    </row>
    <row r="23" spans="1:10">
      <c r="A23" s="245">
        <v>42.609890109890102</v>
      </c>
      <c r="B23" s="245"/>
      <c r="C23" s="245"/>
      <c r="D23" s="245"/>
      <c r="E23" s="245"/>
      <c r="F23" s="246">
        <f t="shared" si="0"/>
        <v>0</v>
      </c>
      <c r="G23" s="247">
        <f>F23*K4</f>
        <v>0</v>
      </c>
      <c r="H23" s="252"/>
    </row>
    <row r="24" spans="1:10">
      <c r="A24" s="245">
        <v>45.175824175824197</v>
      </c>
      <c r="B24" s="245"/>
      <c r="C24" s="245"/>
      <c r="D24" s="245"/>
      <c r="E24" s="245"/>
      <c r="F24" s="246">
        <f t="shared" si="0"/>
        <v>0</v>
      </c>
      <c r="G24" s="247">
        <f>F24*K4</f>
        <v>0</v>
      </c>
      <c r="H24" s="252"/>
    </row>
    <row r="25" spans="1:10">
      <c r="A25" s="245">
        <v>47.741758241758298</v>
      </c>
      <c r="B25" s="245"/>
      <c r="C25" s="245"/>
      <c r="D25" s="245"/>
      <c r="E25" s="245"/>
      <c r="F25" s="246">
        <f t="shared" si="0"/>
        <v>0</v>
      </c>
      <c r="G25" s="247">
        <f>F25*K4</f>
        <v>0</v>
      </c>
      <c r="H25" s="252"/>
    </row>
    <row r="26" spans="1:10">
      <c r="A26" s="245">
        <v>50.307692307692299</v>
      </c>
      <c r="B26" s="245"/>
      <c r="C26" s="245"/>
      <c r="D26" s="245"/>
      <c r="E26" s="245"/>
      <c r="F26" s="246">
        <f t="shared" si="0"/>
        <v>0</v>
      </c>
      <c r="G26" s="247">
        <f>F26*K4</f>
        <v>0</v>
      </c>
      <c r="H26" s="252"/>
    </row>
    <row r="27" spans="1:10">
      <c r="A27" s="245">
        <v>52.873626373626401</v>
      </c>
      <c r="B27" s="245"/>
      <c r="C27" s="245"/>
      <c r="D27" s="245"/>
      <c r="E27" s="245"/>
      <c r="F27" s="246">
        <f t="shared" si="0"/>
        <v>0</v>
      </c>
      <c r="G27" s="247">
        <f>F27*K4</f>
        <v>0</v>
      </c>
      <c r="H27" s="252"/>
    </row>
    <row r="28" spans="1:10">
      <c r="A28" s="245">
        <v>55.439560439560502</v>
      </c>
      <c r="B28" s="245"/>
      <c r="C28" s="245"/>
      <c r="D28" s="245"/>
      <c r="E28" s="245"/>
      <c r="F28" s="246">
        <f t="shared" si="0"/>
        <v>0</v>
      </c>
      <c r="G28" s="247">
        <f>F28*K4</f>
        <v>0</v>
      </c>
      <c r="H28" s="252"/>
    </row>
    <row r="29" spans="1:10">
      <c r="A29" s="245">
        <v>58.005494505494497</v>
      </c>
      <c r="B29" s="245"/>
      <c r="C29" s="245"/>
      <c r="D29" s="245"/>
      <c r="E29" s="245"/>
      <c r="F29" s="246">
        <f t="shared" si="0"/>
        <v>0</v>
      </c>
      <c r="G29" s="247">
        <f>F29*K4</f>
        <v>0</v>
      </c>
      <c r="H29" s="252"/>
    </row>
    <row r="30" spans="1:10">
      <c r="A30" s="245">
        <v>60.571428571428598</v>
      </c>
      <c r="B30" s="245"/>
      <c r="C30" s="245"/>
      <c r="D30" s="245"/>
      <c r="E30" s="245"/>
      <c r="F30" s="246">
        <f t="shared" si="0"/>
        <v>0</v>
      </c>
      <c r="G30" s="247">
        <f>F30*K4</f>
        <v>0</v>
      </c>
      <c r="H30" s="252"/>
    </row>
    <row r="31" spans="1:10">
      <c r="A31" s="245">
        <v>63.137362637362699</v>
      </c>
      <c r="B31" s="245"/>
      <c r="C31" s="245"/>
      <c r="D31" s="245"/>
      <c r="E31" s="245"/>
      <c r="F31" s="246">
        <f t="shared" si="0"/>
        <v>0</v>
      </c>
      <c r="G31" s="247">
        <f>F31*K4</f>
        <v>0</v>
      </c>
      <c r="H31" s="252"/>
    </row>
    <row r="32" spans="1:10">
      <c r="E32" s="253" t="s">
        <v>836</v>
      </c>
      <c r="F32" s="254">
        <f>SUM(F3:F31)</f>
        <v>9.4367000000000006E-2</v>
      </c>
      <c r="G32" s="255">
        <f>SUM(G3:G31)</f>
        <v>77.380939999999995</v>
      </c>
      <c r="H32" s="557" t="s">
        <v>837</v>
      </c>
      <c r="I32" s="557"/>
    </row>
    <row r="33" spans="2:9">
      <c r="B33" s="558" t="s">
        <v>838</v>
      </c>
      <c r="C33" s="558"/>
      <c r="D33" s="558"/>
      <c r="E33" s="256">
        <v>20</v>
      </c>
      <c r="F33" s="254">
        <f>F32*E33/100</f>
        <v>1.8873399999999999E-2</v>
      </c>
      <c r="G33" s="255">
        <f>F33*K4</f>
        <v>15.476187999999999</v>
      </c>
      <c r="H33" s="557" t="s">
        <v>839</v>
      </c>
      <c r="I33" s="557"/>
    </row>
    <row r="34" spans="2:9">
      <c r="B34" s="558" t="s">
        <v>840</v>
      </c>
      <c r="C34" s="558"/>
      <c r="D34" s="558"/>
      <c r="E34" s="558"/>
      <c r="F34" s="254">
        <v>0</v>
      </c>
      <c r="G34" s="255">
        <f>SUM(G32:G33)</f>
        <v>92.857127999999989</v>
      </c>
      <c r="H34" s="557" t="s">
        <v>842</v>
      </c>
      <c r="I34" s="557"/>
    </row>
    <row r="35" spans="2:9">
      <c r="F35" s="252"/>
      <c r="G35" s="257">
        <f>SUM(G32:G33)*1.3</f>
        <v>120.71426639999999</v>
      </c>
      <c r="H35" s="557" t="s">
        <v>843</v>
      </c>
      <c r="I35" s="557"/>
    </row>
  </sheetData>
  <sheetProtection algorithmName="SHA-512" hashValue="xgOUd9b1AuAAS/zZM3CEtmDucMdPk8e5ilPFQgJHMbuBhCDBHGvKLhvsS7HYbYnFkTj7ZzUcb76pIMYanu2jMw==" saltValue="3Kn477+XUIZgXmgf39iJAQ==" spinCount="100000" sheet="1" objects="1" scenarios="1"/>
  <mergeCells count="16">
    <mergeCell ref="H35:I35"/>
    <mergeCell ref="H32:I32"/>
    <mergeCell ref="H33:I33"/>
    <mergeCell ref="H34:I34"/>
    <mergeCell ref="B34:E34"/>
    <mergeCell ref="B33:D33"/>
    <mergeCell ref="H4:J4"/>
    <mergeCell ref="H5:J5"/>
    <mergeCell ref="H6:J6"/>
    <mergeCell ref="H7:J7"/>
    <mergeCell ref="G1:G2"/>
    <mergeCell ref="B1:B2"/>
    <mergeCell ref="C1:C2"/>
    <mergeCell ref="D1:D2"/>
    <mergeCell ref="E1:E2"/>
    <mergeCell ref="F1:F2"/>
  </mergeCells>
  <pageMargins left="0.7" right="0.7" top="0.75" bottom="0.75" header="0.3" footer="0.3"/>
  <pageSetup paperSize="9" orientation="landscape" horizontalDpi="4294967292" verticalDpi="4294967292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V67"/>
  <sheetViews>
    <sheetView workbookViewId="0">
      <selection activeCell="L23" sqref="L23"/>
    </sheetView>
  </sheetViews>
  <sheetFormatPr baseColWidth="10" defaultColWidth="9.140625" defaultRowHeight="12" customHeight="1"/>
  <cols>
    <col min="1" max="1" width="1.5703125" style="258" customWidth="1"/>
    <col min="2" max="2" width="6.28515625" style="258" customWidth="1"/>
    <col min="3" max="9" width="4.85546875" style="258" customWidth="1"/>
    <col min="10" max="10" width="9.85546875" style="258" customWidth="1"/>
    <col min="11" max="15" width="4.85546875" style="258" customWidth="1"/>
    <col min="16" max="16" width="10.28515625" style="258" customWidth="1"/>
    <col min="17" max="17" width="4.85546875" style="258" customWidth="1"/>
    <col min="18" max="18" width="6" style="258" customWidth="1"/>
    <col min="19" max="19" width="19" style="258" customWidth="1"/>
    <col min="20" max="20" width="13" style="258" customWidth="1"/>
    <col min="21" max="21" width="9.85546875" style="258" customWidth="1"/>
    <col min="22" max="22" width="12" style="258" customWidth="1"/>
    <col min="23" max="16384" width="9.140625" style="258"/>
  </cols>
  <sheetData>
    <row r="2" spans="1:22" ht="12" customHeight="1">
      <c r="B2" s="561" t="s">
        <v>1734</v>
      </c>
      <c r="C2" s="561"/>
      <c r="D2" s="561"/>
      <c r="E2" s="561"/>
      <c r="F2" s="561"/>
    </row>
    <row r="3" spans="1:22" ht="12" customHeight="1">
      <c r="A3" s="259"/>
      <c r="B3" s="561" t="s">
        <v>1735</v>
      </c>
      <c r="C3" s="561"/>
      <c r="D3" s="561"/>
      <c r="E3" s="561"/>
      <c r="F3" s="561"/>
      <c r="G3" s="259"/>
      <c r="H3" s="259"/>
      <c r="I3" s="259"/>
      <c r="J3" s="259"/>
      <c r="K3" s="259"/>
      <c r="L3" s="259"/>
      <c r="M3" s="259"/>
      <c r="N3" s="259"/>
      <c r="O3" s="259"/>
      <c r="P3" s="259"/>
      <c r="Q3" s="259"/>
      <c r="R3" s="259"/>
      <c r="S3" s="259"/>
      <c r="T3" s="259"/>
      <c r="U3" s="259"/>
      <c r="V3" s="259"/>
    </row>
    <row r="4" spans="1:22" ht="12" customHeight="1">
      <c r="A4" s="259"/>
      <c r="G4" s="259"/>
      <c r="H4" s="259"/>
      <c r="I4" s="259"/>
      <c r="J4" s="259"/>
      <c r="K4" s="259"/>
      <c r="L4" s="259"/>
      <c r="M4" s="259"/>
      <c r="N4" s="259"/>
      <c r="O4" s="259"/>
      <c r="P4" s="259"/>
      <c r="Q4" s="562" t="s">
        <v>1712</v>
      </c>
      <c r="R4" s="562"/>
      <c r="S4" s="259"/>
      <c r="T4" s="259"/>
      <c r="U4" s="259"/>
    </row>
    <row r="5" spans="1:22" ht="12" customHeight="1">
      <c r="A5" s="259"/>
      <c r="B5" s="259"/>
      <c r="C5" s="563"/>
      <c r="D5" s="563"/>
      <c r="E5" s="563"/>
      <c r="F5" s="259"/>
      <c r="G5" s="259"/>
      <c r="H5" s="259"/>
      <c r="I5" s="259"/>
      <c r="J5" s="259"/>
      <c r="K5" s="259"/>
      <c r="L5" s="259"/>
      <c r="M5" s="259"/>
      <c r="N5" s="259"/>
      <c r="O5" s="259"/>
      <c r="P5" s="259"/>
      <c r="Q5" s="564" t="s">
        <v>1736</v>
      </c>
      <c r="R5" s="564"/>
      <c r="S5" s="259"/>
      <c r="T5" s="259"/>
      <c r="U5" s="259"/>
    </row>
    <row r="6" spans="1:22" ht="12" customHeight="1">
      <c r="A6" s="259"/>
      <c r="B6" s="559" t="s">
        <v>1737</v>
      </c>
      <c r="C6" s="559"/>
      <c r="D6" s="559"/>
      <c r="E6" s="559"/>
      <c r="F6" s="559"/>
      <c r="G6" s="259"/>
      <c r="H6" s="259"/>
      <c r="K6" s="259"/>
      <c r="L6" s="259"/>
      <c r="M6" s="259"/>
      <c r="N6" s="259"/>
      <c r="O6" s="259"/>
      <c r="P6" s="260" t="s">
        <v>1738</v>
      </c>
      <c r="Q6" s="560" t="s">
        <v>1739</v>
      </c>
      <c r="R6" s="560"/>
      <c r="S6" s="259"/>
      <c r="T6" s="259"/>
    </row>
    <row r="7" spans="1:22" ht="15.75" customHeight="1">
      <c r="A7" s="563" t="s">
        <v>1740</v>
      </c>
      <c r="B7" s="563"/>
      <c r="C7" s="563"/>
      <c r="D7" s="563"/>
      <c r="E7" s="563"/>
      <c r="F7" s="563"/>
      <c r="G7" s="563"/>
      <c r="H7" s="563"/>
      <c r="I7" s="563"/>
      <c r="J7" s="563"/>
      <c r="K7" s="563"/>
      <c r="L7" s="563"/>
      <c r="M7" s="563"/>
      <c r="N7" s="563"/>
      <c r="O7" s="563"/>
      <c r="P7" s="563"/>
      <c r="Q7" s="563"/>
      <c r="R7" s="563"/>
      <c r="S7" s="259"/>
      <c r="T7" s="261"/>
      <c r="U7" s="259"/>
      <c r="V7" s="259"/>
    </row>
    <row r="8" spans="1:22" ht="12" customHeight="1" thickBot="1">
      <c r="A8" s="262"/>
      <c r="B8" s="262"/>
      <c r="C8" s="262"/>
      <c r="D8" s="262"/>
      <c r="E8" s="262"/>
      <c r="F8" s="262"/>
      <c r="G8" s="262"/>
      <c r="H8" s="262"/>
      <c r="I8" s="262"/>
      <c r="J8" s="262"/>
      <c r="K8" s="262"/>
      <c r="L8" s="262"/>
      <c r="M8" s="262"/>
      <c r="N8" s="262"/>
      <c r="O8" s="262"/>
      <c r="P8" s="262"/>
      <c r="Q8" s="262"/>
      <c r="R8" s="262"/>
      <c r="S8" s="259"/>
      <c r="T8" s="261"/>
      <c r="U8" s="259"/>
      <c r="V8" s="259"/>
    </row>
    <row r="9" spans="1:22" ht="12" customHeight="1">
      <c r="A9" s="259"/>
      <c r="B9" s="603" t="s">
        <v>1741</v>
      </c>
      <c r="C9" s="604"/>
      <c r="D9" s="604"/>
      <c r="E9" s="604"/>
      <c r="F9" s="604"/>
      <c r="G9" s="604"/>
      <c r="H9" s="604"/>
      <c r="I9" s="604"/>
      <c r="J9" s="263"/>
      <c r="K9" s="263"/>
      <c r="L9" s="263"/>
      <c r="M9" s="263"/>
      <c r="N9" s="263"/>
      <c r="O9" s="263"/>
      <c r="P9" s="263"/>
      <c r="Q9" s="263"/>
      <c r="R9" s="264"/>
      <c r="S9" s="259"/>
      <c r="T9" s="259"/>
      <c r="U9" s="259"/>
      <c r="V9" s="259"/>
    </row>
    <row r="10" spans="1:22" ht="12" customHeight="1">
      <c r="A10" s="259"/>
      <c r="B10" s="265" t="s">
        <v>1742</v>
      </c>
      <c r="C10" s="259"/>
      <c r="D10" s="259"/>
      <c r="E10" s="259"/>
      <c r="F10" s="259"/>
      <c r="G10" s="259"/>
      <c r="H10" s="259"/>
      <c r="I10" s="259"/>
      <c r="J10" s="259"/>
      <c r="K10" s="259"/>
      <c r="L10" s="259"/>
      <c r="M10" s="259"/>
      <c r="N10" s="259"/>
      <c r="O10" s="259"/>
      <c r="P10" s="259"/>
      <c r="Q10" s="259"/>
      <c r="R10" s="266"/>
      <c r="S10" s="259"/>
      <c r="T10" s="259"/>
      <c r="U10" s="259"/>
      <c r="V10" s="259"/>
    </row>
    <row r="11" spans="1:22" ht="12" customHeight="1">
      <c r="A11" s="259"/>
      <c r="B11" s="267" t="s">
        <v>1743</v>
      </c>
      <c r="C11" s="565" t="e">
        <f>CONCATENATE(VLOOKUP(PAGE1!AE17,Clients!B3:K702,2),VLOOKUP(PAGE1!AE17,Clients!B3:K702,3))</f>
        <v>#N/A</v>
      </c>
      <c r="D11" s="565"/>
      <c r="E11" s="565"/>
      <c r="F11" s="565"/>
      <c r="G11" s="565"/>
      <c r="H11" s="565"/>
      <c r="I11" s="565"/>
      <c r="J11" s="259"/>
      <c r="K11" s="566" t="s">
        <v>1744</v>
      </c>
      <c r="L11" s="567"/>
      <c r="M11" s="565" t="e">
        <f>CONCATENATE(VLOOKUP(PAGE1!AE17,Clients!B3:K702,4))</f>
        <v>#N/A</v>
      </c>
      <c r="N11" s="565"/>
      <c r="O11" s="565"/>
      <c r="P11" s="268"/>
      <c r="Q11" s="259"/>
      <c r="R11" s="269"/>
      <c r="V11" s="259"/>
    </row>
    <row r="12" spans="1:22" ht="16.5" customHeight="1" thickBot="1">
      <c r="A12" s="259"/>
      <c r="B12" s="270" t="s">
        <v>1713</v>
      </c>
      <c r="C12" s="568" t="e">
        <f>PAGE1!S13</f>
        <v>#N/A</v>
      </c>
      <c r="D12" s="568"/>
      <c r="E12" s="568"/>
      <c r="F12" s="568"/>
      <c r="G12" s="568"/>
      <c r="H12" s="568"/>
      <c r="I12" s="568"/>
      <c r="J12" s="605" t="s">
        <v>1724</v>
      </c>
      <c r="K12" s="605"/>
      <c r="L12" s="569" t="e">
        <f>CONCATENATE(VLOOKUP(PAGE1!AE17,Clients!B3:K702,9))</f>
        <v>#N/A</v>
      </c>
      <c r="M12" s="569"/>
      <c r="N12" s="569"/>
      <c r="O12" s="569"/>
      <c r="P12" s="271" t="s">
        <v>1714</v>
      </c>
      <c r="Q12" s="569" t="e">
        <f>CONCATENATE(VLOOKUP(PAGE1!AE17,Clients!B3:K702,8))</f>
        <v>#N/A</v>
      </c>
      <c r="R12" s="570"/>
      <c r="V12" s="259"/>
    </row>
    <row r="13" spans="1:22" ht="8.1" customHeight="1" thickBot="1">
      <c r="A13" s="259"/>
      <c r="B13" s="272"/>
      <c r="C13" s="262"/>
      <c r="D13" s="262"/>
      <c r="E13" s="262"/>
      <c r="F13" s="262"/>
      <c r="G13" s="262"/>
      <c r="H13" s="262"/>
      <c r="I13" s="262"/>
      <c r="J13" s="259"/>
      <c r="K13" s="273"/>
      <c r="L13" s="273"/>
      <c r="M13" s="262"/>
      <c r="N13" s="262"/>
      <c r="O13" s="262"/>
      <c r="P13" s="274"/>
      <c r="Q13" s="262"/>
      <c r="R13" s="262"/>
      <c r="V13" s="259"/>
    </row>
    <row r="14" spans="1:22" ht="14.1" customHeight="1">
      <c r="A14" s="259"/>
      <c r="B14" s="573" t="s">
        <v>1745</v>
      </c>
      <c r="C14" s="574"/>
      <c r="D14" s="574"/>
      <c r="E14" s="574"/>
      <c r="F14" s="574"/>
      <c r="G14" s="263"/>
      <c r="H14" s="263"/>
      <c r="I14" s="263"/>
      <c r="J14" s="263"/>
      <c r="K14" s="263"/>
      <c r="L14" s="263"/>
      <c r="M14" s="263"/>
      <c r="N14" s="263"/>
      <c r="O14" s="263"/>
      <c r="P14" s="263"/>
      <c r="Q14" s="263"/>
      <c r="R14" s="264"/>
      <c r="S14" s="259"/>
      <c r="T14" s="259"/>
      <c r="U14" s="259"/>
      <c r="V14" s="259"/>
    </row>
    <row r="15" spans="1:22" ht="14.1" customHeight="1">
      <c r="A15" s="259"/>
      <c r="B15" s="575" t="s">
        <v>1746</v>
      </c>
      <c r="C15" s="576"/>
      <c r="D15" s="576"/>
      <c r="E15" s="576"/>
      <c r="F15" s="576"/>
      <c r="G15" s="576"/>
      <c r="H15" s="576"/>
      <c r="I15" s="576"/>
      <c r="J15" s="576"/>
      <c r="K15" s="576"/>
      <c r="L15" s="576"/>
      <c r="M15" s="576"/>
      <c r="N15" s="576"/>
      <c r="O15" s="576"/>
      <c r="P15" s="576"/>
      <c r="Q15" s="576"/>
      <c r="R15" s="577"/>
      <c r="S15" s="259"/>
      <c r="T15" s="259"/>
      <c r="U15" s="259"/>
      <c r="V15" s="259"/>
    </row>
    <row r="16" spans="1:22" ht="15.75" customHeight="1">
      <c r="A16" s="259"/>
      <c r="B16" s="575" t="s">
        <v>1747</v>
      </c>
      <c r="C16" s="576"/>
      <c r="D16" s="576"/>
      <c r="E16" s="576"/>
      <c r="F16" s="576"/>
      <c r="G16" s="576"/>
      <c r="H16" s="576"/>
      <c r="I16" s="259"/>
      <c r="J16" s="259"/>
      <c r="K16" s="259"/>
      <c r="L16" s="259"/>
      <c r="M16" s="259"/>
      <c r="N16" s="259"/>
      <c r="O16" s="259"/>
      <c r="P16" s="259"/>
      <c r="Q16" s="259"/>
      <c r="R16" s="266"/>
      <c r="S16" s="259"/>
      <c r="T16" s="259"/>
      <c r="U16" s="259"/>
      <c r="V16" s="259"/>
    </row>
    <row r="17" spans="1:22" ht="14.1" customHeight="1">
      <c r="A17" s="259"/>
      <c r="B17" s="571" t="s">
        <v>1748</v>
      </c>
      <c r="C17" s="572"/>
      <c r="D17" s="572"/>
      <c r="E17" s="572"/>
      <c r="F17" s="572"/>
      <c r="G17" s="572"/>
      <c r="H17" s="578" t="s">
        <v>1749</v>
      </c>
      <c r="I17" s="578"/>
      <c r="J17" s="578"/>
      <c r="K17" s="259"/>
      <c r="L17" s="259"/>
      <c r="M17" s="578" t="s">
        <v>1750</v>
      </c>
      <c r="N17" s="578"/>
      <c r="O17" s="578"/>
      <c r="P17" s="578"/>
      <c r="Q17" s="268"/>
      <c r="R17" s="266"/>
      <c r="S17" s="259"/>
      <c r="U17" s="259"/>
      <c r="V17" s="259"/>
    </row>
    <row r="18" spans="1:22" ht="14.1" customHeight="1">
      <c r="A18" s="259"/>
      <c r="B18" s="571" t="s">
        <v>1751</v>
      </c>
      <c r="C18" s="572"/>
      <c r="D18" s="572"/>
      <c r="E18" s="572"/>
      <c r="F18" s="572"/>
      <c r="G18" s="572"/>
      <c r="H18" s="572"/>
      <c r="I18" s="572"/>
      <c r="J18" s="259"/>
      <c r="K18" s="259"/>
      <c r="L18" s="259"/>
      <c r="M18" s="259"/>
      <c r="N18" s="259"/>
      <c r="O18" s="259"/>
      <c r="P18" s="259"/>
      <c r="Q18" s="259"/>
      <c r="R18" s="275"/>
      <c r="S18" s="259"/>
      <c r="T18" s="259"/>
      <c r="U18" s="259"/>
      <c r="V18" s="259"/>
    </row>
    <row r="19" spans="1:22" ht="14.1" customHeight="1">
      <c r="A19" s="259"/>
      <c r="B19" s="579" t="s">
        <v>1752</v>
      </c>
      <c r="C19" s="572"/>
      <c r="D19" s="572"/>
      <c r="E19" s="572"/>
      <c r="F19" s="572"/>
      <c r="G19" s="259"/>
      <c r="H19" s="259"/>
      <c r="I19" s="259"/>
      <c r="J19" s="259"/>
      <c r="K19" s="259"/>
      <c r="L19" s="259"/>
      <c r="M19" s="259"/>
      <c r="N19" s="259"/>
      <c r="O19" s="259"/>
      <c r="P19" s="259"/>
      <c r="Q19" s="259"/>
      <c r="R19" s="266"/>
      <c r="S19" s="259"/>
      <c r="T19" s="259"/>
      <c r="U19" s="259"/>
      <c r="V19" s="259"/>
    </row>
    <row r="20" spans="1:22" ht="14.1" customHeight="1">
      <c r="A20" s="259"/>
      <c r="B20" s="571" t="s">
        <v>1753</v>
      </c>
      <c r="C20" s="572"/>
      <c r="D20" s="572"/>
      <c r="E20" s="572"/>
      <c r="F20" s="572"/>
      <c r="G20" s="572"/>
      <c r="H20" s="572"/>
      <c r="I20" s="572"/>
      <c r="J20" s="572"/>
      <c r="K20" s="259"/>
      <c r="L20" s="259"/>
      <c r="M20" s="259"/>
      <c r="N20" s="259"/>
      <c r="O20" s="259"/>
      <c r="P20" s="259"/>
      <c r="Q20" s="259"/>
      <c r="R20" s="266"/>
      <c r="S20" s="259"/>
      <c r="T20" s="259"/>
      <c r="U20" s="259"/>
      <c r="V20" s="259"/>
    </row>
    <row r="21" spans="1:22" ht="14.1" customHeight="1">
      <c r="A21" s="259"/>
      <c r="B21" s="571" t="s">
        <v>1754</v>
      </c>
      <c r="C21" s="572"/>
      <c r="D21" s="572"/>
      <c r="E21" s="572"/>
      <c r="F21" s="572"/>
      <c r="G21" s="572"/>
      <c r="H21" s="572"/>
      <c r="I21" s="572"/>
      <c r="J21" s="572"/>
      <c r="K21" s="572"/>
      <c r="L21" s="572"/>
      <c r="M21" s="572"/>
      <c r="N21" s="572"/>
      <c r="O21" s="572"/>
      <c r="P21" s="572"/>
      <c r="Q21" s="572"/>
      <c r="R21" s="266"/>
      <c r="S21" s="259"/>
      <c r="T21" s="259"/>
      <c r="U21" s="259"/>
      <c r="V21" s="259"/>
    </row>
    <row r="22" spans="1:22" ht="14.1" customHeight="1">
      <c r="A22" s="259"/>
      <c r="B22" s="580" t="s">
        <v>1755</v>
      </c>
      <c r="C22" s="578"/>
      <c r="D22" s="578"/>
      <c r="E22" s="578"/>
      <c r="F22" s="578"/>
      <c r="G22" s="578"/>
      <c r="H22" s="578"/>
      <c r="I22" s="578"/>
      <c r="J22" s="578"/>
      <c r="K22" s="578"/>
      <c r="L22" s="578"/>
      <c r="M22" s="578"/>
      <c r="N22" s="578"/>
      <c r="O22" s="578"/>
      <c r="P22" s="578"/>
      <c r="Q22" s="578"/>
      <c r="R22" s="581"/>
      <c r="S22" s="259"/>
      <c r="T22" s="259"/>
      <c r="U22" s="259"/>
      <c r="V22" s="259"/>
    </row>
    <row r="23" spans="1:22" ht="14.1" customHeight="1">
      <c r="A23" s="259"/>
      <c r="B23" s="571" t="s">
        <v>1756</v>
      </c>
      <c r="C23" s="572"/>
      <c r="D23" s="572"/>
      <c r="E23" s="572"/>
      <c r="F23" s="572"/>
      <c r="G23" s="259"/>
      <c r="H23" s="259"/>
      <c r="I23" s="259"/>
      <c r="J23" s="259"/>
      <c r="K23" s="259"/>
      <c r="L23" s="259"/>
      <c r="M23" s="259"/>
      <c r="N23" s="259"/>
      <c r="O23" s="259"/>
      <c r="P23" s="259"/>
      <c r="Q23" s="259"/>
      <c r="R23" s="266"/>
      <c r="S23" s="259"/>
      <c r="T23" s="259"/>
      <c r="U23" s="259"/>
      <c r="V23" s="259"/>
    </row>
    <row r="24" spans="1:22" ht="14.1" customHeight="1">
      <c r="A24" s="259"/>
      <c r="B24" s="571" t="s">
        <v>1757</v>
      </c>
      <c r="C24" s="572"/>
      <c r="D24" s="572"/>
      <c r="E24" s="572"/>
      <c r="F24" s="572"/>
      <c r="G24" s="572"/>
      <c r="H24" s="572"/>
      <c r="I24" s="572"/>
      <c r="J24" s="572"/>
      <c r="K24" s="572"/>
      <c r="L24" s="572"/>
      <c r="M24" s="572"/>
      <c r="N24" s="572"/>
      <c r="O24" s="572"/>
      <c r="P24" s="259"/>
      <c r="Q24" s="259"/>
      <c r="R24" s="266"/>
      <c r="S24" s="259"/>
      <c r="T24" s="259"/>
      <c r="U24" s="259"/>
      <c r="V24" s="259"/>
    </row>
    <row r="25" spans="1:22" ht="17.25" customHeight="1">
      <c r="A25" s="259"/>
      <c r="B25" s="583" t="s">
        <v>1715</v>
      </c>
      <c r="C25" s="584"/>
      <c r="D25" s="563"/>
      <c r="E25" s="563"/>
      <c r="F25" s="563"/>
      <c r="G25" s="563"/>
      <c r="H25" s="585" t="s">
        <v>1716</v>
      </c>
      <c r="I25" s="586"/>
      <c r="J25" s="563"/>
      <c r="K25" s="563"/>
      <c r="L25" s="563"/>
      <c r="M25" s="587" t="s">
        <v>1717</v>
      </c>
      <c r="N25" s="587"/>
      <c r="O25" s="587"/>
      <c r="P25" s="563"/>
      <c r="Q25" s="563"/>
      <c r="R25" s="588"/>
      <c r="S25" s="259"/>
      <c r="T25" s="259"/>
      <c r="U25" s="259"/>
      <c r="V25" s="259"/>
    </row>
    <row r="26" spans="1:22" ht="13.5" customHeight="1" thickBot="1">
      <c r="A26" s="259"/>
      <c r="B26" s="589" t="s">
        <v>1758</v>
      </c>
      <c r="C26" s="590"/>
      <c r="D26" s="591" t="s">
        <v>1718</v>
      </c>
      <c r="E26" s="591"/>
      <c r="F26" s="591"/>
      <c r="G26" s="276"/>
      <c r="H26" s="277" t="s">
        <v>1719</v>
      </c>
      <c r="I26" s="276"/>
      <c r="J26" s="278"/>
      <c r="K26" s="276" t="s">
        <v>1759</v>
      </c>
      <c r="L26" s="276"/>
      <c r="M26" s="276"/>
      <c r="N26" s="279"/>
      <c r="O26" s="277"/>
      <c r="P26" s="276"/>
      <c r="Q26" s="279"/>
      <c r="R26" s="280"/>
      <c r="S26" s="281"/>
      <c r="T26" s="281"/>
      <c r="U26" s="281"/>
      <c r="V26" s="259"/>
    </row>
    <row r="27" spans="1:22" ht="8.1" customHeight="1" thickBot="1">
      <c r="A27" s="259"/>
      <c r="B27" s="282"/>
      <c r="C27" s="282"/>
      <c r="D27" s="283"/>
      <c r="E27" s="283"/>
      <c r="F27" s="281"/>
      <c r="G27" s="281"/>
      <c r="H27" s="284"/>
      <c r="I27" s="281"/>
      <c r="J27" s="285"/>
      <c r="K27" s="281"/>
      <c r="L27" s="281"/>
      <c r="M27" s="281"/>
      <c r="N27" s="268"/>
      <c r="O27" s="284"/>
      <c r="P27" s="281"/>
      <c r="Q27" s="268"/>
      <c r="R27" s="281"/>
      <c r="S27" s="281"/>
      <c r="T27" s="281"/>
      <c r="U27" s="281"/>
      <c r="V27" s="259"/>
    </row>
    <row r="28" spans="1:22" ht="18.75" customHeight="1">
      <c r="A28" s="259"/>
      <c r="B28" s="592" t="s">
        <v>1760</v>
      </c>
      <c r="C28" s="593"/>
      <c r="D28" s="593"/>
      <c r="E28" s="286"/>
      <c r="F28" s="287"/>
      <c r="G28" s="263"/>
      <c r="H28" s="263"/>
      <c r="I28" s="263"/>
      <c r="J28" s="263"/>
      <c r="K28" s="263"/>
      <c r="L28" s="263"/>
      <c r="M28" s="263"/>
      <c r="N28" s="263"/>
      <c r="O28" s="263"/>
      <c r="P28" s="263"/>
      <c r="Q28" s="263"/>
      <c r="R28" s="264"/>
      <c r="S28" s="259"/>
      <c r="T28" s="259"/>
      <c r="U28" s="259"/>
      <c r="V28" s="259"/>
    </row>
    <row r="29" spans="1:22" ht="12" customHeight="1">
      <c r="A29" s="259"/>
      <c r="B29" s="594" t="s">
        <v>1761</v>
      </c>
      <c r="C29" s="563"/>
      <c r="D29" s="563"/>
      <c r="E29" s="563"/>
      <c r="F29" s="563"/>
      <c r="G29" s="563"/>
      <c r="H29" s="563"/>
      <c r="I29" s="563"/>
      <c r="J29" s="563"/>
      <c r="K29" s="563"/>
      <c r="L29" s="563"/>
      <c r="M29" s="563"/>
      <c r="N29" s="563"/>
      <c r="O29" s="563"/>
      <c r="P29" s="563"/>
      <c r="Q29" s="563"/>
      <c r="R29" s="588"/>
      <c r="S29" s="259"/>
      <c r="T29" s="259"/>
      <c r="U29" s="259"/>
      <c r="V29" s="259"/>
    </row>
    <row r="30" spans="1:22" ht="12" customHeight="1">
      <c r="A30" s="259"/>
      <c r="B30" s="265" t="s">
        <v>1762</v>
      </c>
      <c r="C30" s="259"/>
      <c r="D30" s="259"/>
      <c r="E30" s="259"/>
      <c r="F30" s="259"/>
      <c r="G30" s="259"/>
      <c r="H30" s="259"/>
      <c r="I30" s="259"/>
      <c r="J30" s="259"/>
      <c r="K30" s="259"/>
      <c r="L30" s="259"/>
      <c r="M30" s="259"/>
      <c r="N30" s="259"/>
      <c r="O30" s="259"/>
      <c r="P30" s="259"/>
      <c r="Q30" s="259"/>
      <c r="R30" s="266"/>
      <c r="S30" s="259"/>
      <c r="T30" s="259"/>
      <c r="U30" s="259"/>
      <c r="V30" s="259"/>
    </row>
    <row r="31" spans="1:22" ht="12" customHeight="1">
      <c r="A31" s="259"/>
      <c r="B31" s="582" t="s">
        <v>1763</v>
      </c>
      <c r="C31" s="576"/>
      <c r="D31" s="576"/>
      <c r="E31" s="576"/>
      <c r="F31" s="576"/>
      <c r="G31" s="576"/>
      <c r="H31" s="576"/>
      <c r="I31" s="576"/>
      <c r="J31" s="576"/>
      <c r="K31" s="576"/>
      <c r="L31" s="576"/>
      <c r="M31" s="576"/>
      <c r="N31" s="576"/>
      <c r="O31" s="576"/>
      <c r="P31" s="576"/>
      <c r="Q31" s="576"/>
      <c r="R31" s="577"/>
      <c r="S31" s="259"/>
      <c r="T31" s="259"/>
      <c r="U31" s="259"/>
      <c r="V31" s="259"/>
    </row>
    <row r="32" spans="1:22" ht="12" customHeight="1">
      <c r="A32" s="259"/>
      <c r="B32" s="582" t="s">
        <v>1764</v>
      </c>
      <c r="C32" s="576"/>
      <c r="D32" s="576"/>
      <c r="E32" s="576"/>
      <c r="F32" s="576"/>
      <c r="G32" s="576"/>
      <c r="H32" s="576"/>
      <c r="I32" s="576"/>
      <c r="J32" s="259"/>
      <c r="K32" s="259"/>
      <c r="L32" s="259"/>
      <c r="M32" s="259"/>
      <c r="N32" s="259"/>
      <c r="O32" s="259"/>
      <c r="P32" s="259"/>
      <c r="Q32" s="259"/>
      <c r="R32" s="266"/>
      <c r="S32" s="259"/>
      <c r="T32" s="259"/>
      <c r="U32" s="259"/>
      <c r="V32" s="259"/>
    </row>
    <row r="33" spans="1:22" ht="12" customHeight="1">
      <c r="A33" s="259"/>
      <c r="B33" s="582" t="s">
        <v>1765</v>
      </c>
      <c r="C33" s="576"/>
      <c r="D33" s="576"/>
      <c r="E33" s="576"/>
      <c r="F33" s="576"/>
      <c r="G33" s="576"/>
      <c r="H33" s="576"/>
      <c r="I33" s="576"/>
      <c r="J33" s="576"/>
      <c r="K33" s="576"/>
      <c r="L33" s="576"/>
      <c r="M33" s="576"/>
      <c r="N33" s="576"/>
      <c r="O33" s="576"/>
      <c r="P33" s="576"/>
      <c r="Q33" s="576"/>
      <c r="R33" s="577"/>
      <c r="T33" s="259"/>
      <c r="U33" s="259"/>
      <c r="V33" s="259"/>
    </row>
    <row r="34" spans="1:22" ht="12" customHeight="1">
      <c r="A34" s="259"/>
      <c r="B34" s="595" t="s">
        <v>1766</v>
      </c>
      <c r="C34" s="596"/>
      <c r="D34" s="596"/>
      <c r="E34" s="596"/>
      <c r="F34" s="596"/>
      <c r="G34" s="596"/>
      <c r="H34" s="596"/>
      <c r="I34" s="596"/>
      <c r="J34" s="597" t="s">
        <v>1767</v>
      </c>
      <c r="K34" s="597"/>
      <c r="L34" s="597"/>
      <c r="M34" s="597"/>
      <c r="N34" s="597"/>
      <c r="O34" s="597"/>
      <c r="P34" s="597"/>
      <c r="Q34" s="597"/>
      <c r="R34" s="598"/>
      <c r="S34" s="288"/>
      <c r="T34" s="259"/>
      <c r="U34" s="259"/>
      <c r="V34" s="259"/>
    </row>
    <row r="35" spans="1:22" s="290" customFormat="1" ht="12" customHeight="1">
      <c r="A35" s="259"/>
      <c r="B35" s="599" t="s">
        <v>1720</v>
      </c>
      <c r="C35" s="600"/>
      <c r="D35" s="563" t="s">
        <v>1768</v>
      </c>
      <c r="E35" s="563"/>
      <c r="F35" s="563"/>
      <c r="G35" s="563"/>
      <c r="H35" s="563" t="s">
        <v>1769</v>
      </c>
      <c r="I35" s="563"/>
      <c r="J35" s="563"/>
      <c r="K35" s="259" t="s">
        <v>1770</v>
      </c>
      <c r="L35" s="259"/>
      <c r="M35" s="259"/>
      <c r="N35" s="259"/>
      <c r="O35" s="289"/>
      <c r="P35" s="289"/>
      <c r="Q35" s="289"/>
      <c r="R35" s="266"/>
      <c r="T35" s="259"/>
      <c r="V35" s="259"/>
    </row>
    <row r="36" spans="1:22" ht="12" customHeight="1">
      <c r="A36" s="259"/>
      <c r="B36" s="594" t="s">
        <v>1771</v>
      </c>
      <c r="C36" s="563"/>
      <c r="D36" s="563"/>
      <c r="E36" s="563"/>
      <c r="F36" s="563"/>
      <c r="G36" s="563"/>
      <c r="H36" s="563"/>
      <c r="I36" s="611" t="s">
        <v>1772</v>
      </c>
      <c r="J36" s="611"/>
      <c r="K36" s="611"/>
      <c r="L36" s="611"/>
      <c r="M36" s="611"/>
      <c r="N36" s="611"/>
      <c r="O36" s="611"/>
      <c r="P36" s="611"/>
      <c r="Q36" s="259"/>
      <c r="R36" s="266"/>
      <c r="T36" s="259"/>
      <c r="U36" s="259"/>
      <c r="V36" s="259"/>
    </row>
    <row r="37" spans="1:22" s="290" customFormat="1" ht="12" customHeight="1">
      <c r="A37" s="259"/>
      <c r="B37" s="582" t="s">
        <v>1773</v>
      </c>
      <c r="C37" s="576"/>
      <c r="D37" s="576"/>
      <c r="E37" s="576"/>
      <c r="F37" s="576"/>
      <c r="G37" s="576"/>
      <c r="H37" s="576"/>
      <c r="I37" s="576"/>
      <c r="J37" s="576"/>
      <c r="K37" s="576"/>
      <c r="L37" s="576"/>
      <c r="M37" s="576"/>
      <c r="N37" s="576"/>
      <c r="O37" s="576"/>
      <c r="P37" s="576"/>
      <c r="Q37" s="576"/>
      <c r="R37" s="577"/>
      <c r="S37" s="259"/>
      <c r="T37" s="259"/>
      <c r="U37" s="259"/>
      <c r="V37" s="259"/>
    </row>
    <row r="38" spans="1:22" s="290" customFormat="1" ht="12" customHeight="1">
      <c r="A38" s="259"/>
      <c r="B38" s="582" t="s">
        <v>1774</v>
      </c>
      <c r="C38" s="576"/>
      <c r="D38" s="576"/>
      <c r="E38" s="576"/>
      <c r="F38" s="576"/>
      <c r="G38" s="576"/>
      <c r="H38" s="576"/>
      <c r="I38" s="576"/>
      <c r="J38" s="576"/>
      <c r="K38" s="576"/>
      <c r="L38" s="576"/>
      <c r="M38" s="576"/>
      <c r="N38" s="576"/>
      <c r="O38" s="576"/>
      <c r="P38" s="576"/>
      <c r="Q38" s="576"/>
      <c r="R38" s="577"/>
      <c r="S38" s="259"/>
      <c r="T38" s="259"/>
      <c r="U38" s="259"/>
      <c r="V38" s="259"/>
    </row>
    <row r="39" spans="1:22" s="290" customFormat="1" ht="12" customHeight="1">
      <c r="A39" s="259"/>
      <c r="B39" s="582" t="s">
        <v>1775</v>
      </c>
      <c r="C39" s="576"/>
      <c r="D39" s="576"/>
      <c r="E39" s="576"/>
      <c r="F39" s="576"/>
      <c r="G39" s="576"/>
      <c r="H39" s="576"/>
      <c r="I39" s="576"/>
      <c r="J39" s="576"/>
      <c r="K39" s="576"/>
      <c r="L39" s="576"/>
      <c r="M39" s="576"/>
      <c r="N39" s="576"/>
      <c r="O39" s="576"/>
      <c r="P39" s="576"/>
      <c r="Q39" s="576"/>
      <c r="R39" s="577"/>
      <c r="S39" s="259"/>
      <c r="T39" s="259"/>
      <c r="U39" s="259"/>
      <c r="V39" s="259"/>
    </row>
    <row r="40" spans="1:22" s="290" customFormat="1" ht="12" customHeight="1">
      <c r="A40" s="259"/>
      <c r="B40" s="594" t="s">
        <v>1776</v>
      </c>
      <c r="C40" s="563"/>
      <c r="D40" s="563"/>
      <c r="E40" s="563"/>
      <c r="F40" s="563"/>
      <c r="G40" s="563"/>
      <c r="H40" s="563"/>
      <c r="I40" s="563"/>
      <c r="J40" s="563"/>
      <c r="K40" s="563"/>
      <c r="L40" s="563"/>
      <c r="M40" s="563"/>
      <c r="N40" s="563"/>
      <c r="O40" s="563"/>
      <c r="P40" s="563"/>
      <c r="Q40" s="563"/>
      <c r="R40" s="588"/>
      <c r="S40" s="259"/>
      <c r="T40" s="259"/>
      <c r="U40" s="259"/>
      <c r="V40" s="259"/>
    </row>
    <row r="41" spans="1:22" s="290" customFormat="1" ht="12" customHeight="1">
      <c r="A41" s="259"/>
      <c r="B41" s="594" t="s">
        <v>1777</v>
      </c>
      <c r="C41" s="563"/>
      <c r="D41" s="563"/>
      <c r="E41" s="563"/>
      <c r="F41" s="563"/>
      <c r="G41" s="563"/>
      <c r="H41" s="563"/>
      <c r="I41" s="563"/>
      <c r="J41" s="563"/>
      <c r="K41" s="563"/>
      <c r="L41" s="563"/>
      <c r="M41" s="563"/>
      <c r="N41" s="563"/>
      <c r="O41" s="563"/>
      <c r="P41" s="563"/>
      <c r="Q41" s="563"/>
      <c r="R41" s="588"/>
      <c r="S41" s="259"/>
      <c r="T41" s="259"/>
      <c r="U41" s="259"/>
      <c r="V41" s="259"/>
    </row>
    <row r="42" spans="1:22" s="290" customFormat="1" ht="12" customHeight="1">
      <c r="A42" s="259"/>
      <c r="B42" s="265" t="s">
        <v>1778</v>
      </c>
      <c r="C42" s="259"/>
      <c r="D42" s="259"/>
      <c r="E42" s="259"/>
      <c r="F42" s="259" t="s">
        <v>1779</v>
      </c>
      <c r="G42" s="259"/>
      <c r="H42" s="259"/>
      <c r="I42" s="259"/>
      <c r="J42" s="259"/>
      <c r="K42" s="259"/>
      <c r="L42" s="259"/>
      <c r="M42" s="289"/>
      <c r="N42" s="259"/>
      <c r="O42" s="259"/>
      <c r="P42" s="259"/>
      <c r="Q42" s="259"/>
      <c r="R42" s="266"/>
      <c r="S42" s="259"/>
      <c r="T42" s="259"/>
      <c r="U42" s="259"/>
      <c r="V42" s="259"/>
    </row>
    <row r="43" spans="1:22" s="290" customFormat="1" ht="12" customHeight="1">
      <c r="A43" s="259"/>
      <c r="B43" s="265" t="s">
        <v>1780</v>
      </c>
      <c r="C43" s="259"/>
      <c r="D43" s="259"/>
      <c r="E43" s="259"/>
      <c r="F43" s="259"/>
      <c r="G43" s="259"/>
      <c r="H43" s="259"/>
      <c r="I43" s="259"/>
      <c r="J43" s="259"/>
      <c r="K43" s="259"/>
      <c r="L43" s="259"/>
      <c r="M43" s="259"/>
      <c r="N43" s="259"/>
      <c r="O43" s="259"/>
      <c r="P43" s="259"/>
      <c r="Q43" s="259"/>
      <c r="R43" s="266"/>
      <c r="S43" s="259"/>
      <c r="T43" s="259"/>
      <c r="U43" s="259"/>
      <c r="V43" s="259"/>
    </row>
    <row r="44" spans="1:22" s="290" customFormat="1" ht="12" customHeight="1">
      <c r="A44" s="259"/>
      <c r="B44" s="594" t="s">
        <v>1781</v>
      </c>
      <c r="C44" s="563"/>
      <c r="D44" s="563"/>
      <c r="E44" s="563"/>
      <c r="F44" s="563"/>
      <c r="G44" s="563"/>
      <c r="H44" s="563"/>
      <c r="I44" s="563"/>
      <c r="J44" s="563"/>
      <c r="K44" s="563"/>
      <c r="L44" s="563"/>
      <c r="M44" s="563"/>
      <c r="N44" s="563"/>
      <c r="O44" s="563"/>
      <c r="P44" s="563"/>
      <c r="Q44" s="563"/>
      <c r="R44" s="588"/>
      <c r="S44" s="259"/>
      <c r="T44" s="259"/>
      <c r="U44" s="259"/>
      <c r="V44" s="259"/>
    </row>
    <row r="45" spans="1:22" s="290" customFormat="1" ht="12" customHeight="1" thickBot="1">
      <c r="A45" s="259"/>
      <c r="B45" s="606" t="s">
        <v>1782</v>
      </c>
      <c r="C45" s="607"/>
      <c r="D45" s="607"/>
      <c r="E45" s="607"/>
      <c r="F45" s="607"/>
      <c r="G45" s="607"/>
      <c r="H45" s="607"/>
      <c r="I45" s="607"/>
      <c r="J45" s="291"/>
      <c r="K45" s="291"/>
      <c r="L45" s="291"/>
      <c r="M45" s="291"/>
      <c r="N45" s="291"/>
      <c r="O45" s="291"/>
      <c r="P45" s="291"/>
      <c r="Q45" s="291"/>
      <c r="R45" s="292"/>
      <c r="S45" s="259"/>
      <c r="T45" s="259"/>
      <c r="U45" s="259"/>
      <c r="V45" s="259"/>
    </row>
    <row r="46" spans="1:22" s="290" customFormat="1" ht="8.1" customHeight="1" thickBot="1">
      <c r="A46" s="259"/>
      <c r="B46" s="259"/>
      <c r="C46" s="259"/>
      <c r="D46" s="259"/>
      <c r="E46" s="259"/>
      <c r="F46" s="259"/>
      <c r="G46" s="259"/>
      <c r="H46" s="259"/>
      <c r="I46" s="259"/>
      <c r="J46" s="259"/>
      <c r="K46" s="259"/>
      <c r="L46" s="259"/>
      <c r="M46" s="259"/>
      <c r="N46" s="259"/>
      <c r="O46" s="259"/>
      <c r="P46" s="259"/>
      <c r="Q46" s="259"/>
      <c r="R46" s="259"/>
      <c r="S46" s="259"/>
      <c r="T46" s="259"/>
      <c r="U46" s="259"/>
      <c r="V46" s="259"/>
    </row>
    <row r="47" spans="1:22" ht="12" customHeight="1">
      <c r="A47" s="259"/>
      <c r="B47" s="608" t="s">
        <v>1783</v>
      </c>
      <c r="C47" s="609"/>
      <c r="D47" s="609"/>
      <c r="E47" s="609"/>
      <c r="F47" s="609"/>
      <c r="G47" s="609"/>
      <c r="H47" s="609"/>
      <c r="I47" s="609"/>
      <c r="J47" s="609"/>
      <c r="K47" s="609"/>
      <c r="L47" s="609"/>
      <c r="M47" s="263"/>
      <c r="N47" s="263"/>
      <c r="O47" s="263"/>
      <c r="P47" s="263"/>
      <c r="Q47" s="263"/>
      <c r="R47" s="264"/>
      <c r="S47" s="259"/>
      <c r="T47" s="259"/>
      <c r="U47" s="259"/>
      <c r="V47" s="259"/>
    </row>
    <row r="48" spans="1:22" s="296" customFormat="1" ht="12" customHeight="1">
      <c r="A48" s="293"/>
      <c r="B48" s="294" t="s">
        <v>1784</v>
      </c>
      <c r="C48" s="293"/>
      <c r="D48" s="293"/>
      <c r="E48" s="293"/>
      <c r="F48" s="293"/>
      <c r="G48" s="293"/>
      <c r="H48" s="293"/>
      <c r="I48" s="293"/>
      <c r="J48" s="293"/>
      <c r="K48" s="293"/>
      <c r="L48" s="293"/>
      <c r="M48" s="293"/>
      <c r="N48" s="293"/>
      <c r="O48" s="293"/>
      <c r="P48" s="293"/>
      <c r="Q48" s="293"/>
      <c r="R48" s="295"/>
      <c r="S48" s="293"/>
      <c r="T48" s="293"/>
      <c r="U48" s="293"/>
      <c r="V48" s="293"/>
    </row>
    <row r="49" spans="1:22" s="296" customFormat="1" ht="12" customHeight="1">
      <c r="A49" s="293"/>
      <c r="B49" s="294" t="s">
        <v>1785</v>
      </c>
      <c r="C49" s="293"/>
      <c r="D49" s="293"/>
      <c r="E49" s="293"/>
      <c r="F49" s="293"/>
      <c r="G49" s="293"/>
      <c r="H49" s="293"/>
      <c r="I49" s="293"/>
      <c r="J49" s="293"/>
      <c r="K49" s="293"/>
      <c r="L49" s="293"/>
      <c r="M49" s="293"/>
      <c r="N49" s="293"/>
      <c r="O49" s="293"/>
      <c r="P49" s="293"/>
      <c r="Q49" s="293"/>
      <c r="R49" s="295"/>
      <c r="S49" s="293"/>
      <c r="T49" s="293"/>
      <c r="U49" s="293"/>
      <c r="V49" s="293"/>
    </row>
    <row r="50" spans="1:22" s="296" customFormat="1" ht="12" customHeight="1" thickBot="1">
      <c r="A50" s="293"/>
      <c r="B50" s="297" t="s">
        <v>1786</v>
      </c>
      <c r="C50" s="298"/>
      <c r="D50" s="298"/>
      <c r="E50" s="298"/>
      <c r="F50" s="298"/>
      <c r="G50" s="298"/>
      <c r="H50" s="298"/>
      <c r="I50" s="298"/>
      <c r="J50" s="298"/>
      <c r="K50" s="298"/>
      <c r="L50" s="298"/>
      <c r="M50" s="298"/>
      <c r="N50" s="298"/>
      <c r="O50" s="298"/>
      <c r="P50" s="298"/>
      <c r="Q50" s="298"/>
      <c r="R50" s="299"/>
      <c r="S50" s="293"/>
      <c r="T50" s="293"/>
      <c r="U50" s="293"/>
      <c r="V50" s="293"/>
    </row>
    <row r="51" spans="1:22" s="296" customFormat="1" ht="8.1" customHeight="1" thickBot="1">
      <c r="A51" s="293"/>
      <c r="B51" s="293"/>
      <c r="C51" s="293"/>
      <c r="D51" s="293"/>
      <c r="E51" s="293"/>
      <c r="F51" s="293"/>
      <c r="G51" s="293"/>
      <c r="H51" s="293"/>
      <c r="I51" s="293"/>
      <c r="J51" s="293"/>
      <c r="K51" s="293"/>
      <c r="L51" s="293"/>
      <c r="M51" s="293"/>
      <c r="N51" s="293"/>
      <c r="O51" s="293"/>
      <c r="P51" s="293"/>
      <c r="Q51" s="293"/>
      <c r="R51" s="293"/>
      <c r="S51" s="293"/>
      <c r="T51" s="293"/>
      <c r="U51" s="293"/>
      <c r="V51" s="293"/>
    </row>
    <row r="52" spans="1:22" s="296" customFormat="1" ht="12" customHeight="1" thickTop="1">
      <c r="A52" s="293"/>
      <c r="B52" s="300" t="s">
        <v>1787</v>
      </c>
      <c r="C52" s="301"/>
      <c r="D52" s="301"/>
      <c r="E52" s="301"/>
      <c r="F52" s="301"/>
      <c r="G52" s="301"/>
      <c r="H52" s="301"/>
      <c r="I52" s="301"/>
      <c r="J52" s="301"/>
      <c r="K52" s="301"/>
      <c r="L52" s="301"/>
      <c r="M52" s="301"/>
      <c r="N52" s="301"/>
      <c r="O52" s="301"/>
      <c r="P52" s="301"/>
      <c r="Q52" s="301"/>
      <c r="R52" s="302"/>
      <c r="S52" s="293"/>
      <c r="T52" s="293"/>
      <c r="U52" s="293"/>
      <c r="V52" s="293"/>
    </row>
    <row r="53" spans="1:22" s="296" customFormat="1" ht="12" customHeight="1">
      <c r="A53" s="293"/>
      <c r="B53" s="303" t="s">
        <v>1788</v>
      </c>
      <c r="C53" s="293"/>
      <c r="D53" s="293"/>
      <c r="E53" s="293"/>
      <c r="F53" s="293"/>
      <c r="G53" s="293"/>
      <c r="H53" s="293"/>
      <c r="I53" s="293"/>
      <c r="J53" s="293"/>
      <c r="K53" s="293"/>
      <c r="L53" s="293"/>
      <c r="M53" s="293"/>
      <c r="N53" s="293"/>
      <c r="O53" s="293"/>
      <c r="P53" s="293"/>
      <c r="Q53" s="293"/>
      <c r="R53" s="304"/>
      <c r="S53" s="293"/>
      <c r="T53" s="293"/>
      <c r="U53" s="293"/>
      <c r="V53" s="293"/>
    </row>
    <row r="54" spans="1:22" s="296" customFormat="1" ht="12" customHeight="1">
      <c r="A54" s="293"/>
      <c r="B54" s="303" t="s">
        <v>1789</v>
      </c>
      <c r="C54" s="293"/>
      <c r="D54" s="293"/>
      <c r="E54" s="293"/>
      <c r="F54" s="293"/>
      <c r="G54" s="293"/>
      <c r="H54" s="293"/>
      <c r="I54" s="293"/>
      <c r="J54" s="293"/>
      <c r="K54" s="293"/>
      <c r="L54" s="293"/>
      <c r="M54" s="293"/>
      <c r="N54" s="293"/>
      <c r="O54" s="293"/>
      <c r="P54" s="293"/>
      <c r="Q54" s="293"/>
      <c r="R54" s="304"/>
      <c r="S54" s="293"/>
      <c r="T54" s="293"/>
      <c r="U54" s="293"/>
      <c r="V54" s="293"/>
    </row>
    <row r="55" spans="1:22" s="296" customFormat="1" ht="12" customHeight="1">
      <c r="A55" s="293"/>
      <c r="B55" s="305" t="s">
        <v>1721</v>
      </c>
      <c r="C55" s="293" t="s">
        <v>1790</v>
      </c>
      <c r="D55" s="293"/>
      <c r="E55" s="293"/>
      <c r="F55" s="293"/>
      <c r="G55" s="306"/>
      <c r="H55" s="293"/>
      <c r="I55" s="293"/>
      <c r="J55" s="293"/>
      <c r="K55" s="293"/>
      <c r="L55" s="293"/>
      <c r="M55" s="293"/>
      <c r="N55" s="293"/>
      <c r="O55" s="293"/>
      <c r="P55" s="293"/>
      <c r="Q55" s="293"/>
      <c r="R55" s="304"/>
      <c r="S55" s="293"/>
      <c r="T55" s="293"/>
      <c r="U55" s="293"/>
      <c r="V55" s="293"/>
    </row>
    <row r="56" spans="1:22" s="296" customFormat="1" ht="12" customHeight="1">
      <c r="A56" s="293"/>
      <c r="B56" s="303"/>
      <c r="C56" s="293" t="s">
        <v>1791</v>
      </c>
      <c r="D56" s="293"/>
      <c r="E56" s="293"/>
      <c r="F56" s="293"/>
      <c r="G56" s="306"/>
      <c r="H56" s="293"/>
      <c r="I56" s="293"/>
      <c r="J56" s="293"/>
      <c r="K56" s="293"/>
      <c r="L56" s="293"/>
      <c r="M56" s="293"/>
      <c r="N56" s="293"/>
      <c r="O56" s="293"/>
      <c r="P56" s="293"/>
      <c r="Q56" s="293"/>
      <c r="R56" s="304"/>
      <c r="S56" s="293"/>
      <c r="T56" s="293"/>
      <c r="U56" s="293"/>
      <c r="V56" s="293"/>
    </row>
    <row r="57" spans="1:22" s="296" customFormat="1" ht="12" customHeight="1">
      <c r="A57" s="293"/>
      <c r="B57" s="305" t="s">
        <v>1721</v>
      </c>
      <c r="C57" s="293" t="s">
        <v>1792</v>
      </c>
      <c r="D57" s="293"/>
      <c r="E57" s="293"/>
      <c r="F57" s="293"/>
      <c r="G57" s="306"/>
      <c r="H57" s="293"/>
      <c r="I57" s="293"/>
      <c r="J57" s="293"/>
      <c r="K57" s="293"/>
      <c r="L57" s="293"/>
      <c r="M57" s="293"/>
      <c r="N57" s="293"/>
      <c r="O57" s="293"/>
      <c r="P57" s="293"/>
      <c r="Q57" s="293"/>
      <c r="R57" s="304"/>
      <c r="S57" s="293"/>
      <c r="T57" s="293"/>
      <c r="U57" s="293"/>
      <c r="V57" s="293"/>
    </row>
    <row r="58" spans="1:22" s="296" customFormat="1" ht="12" customHeight="1" thickBot="1">
      <c r="A58" s="293"/>
      <c r="B58" s="307"/>
      <c r="C58" s="308" t="s">
        <v>1793</v>
      </c>
      <c r="D58" s="308"/>
      <c r="E58" s="308"/>
      <c r="F58" s="308"/>
      <c r="G58" s="309"/>
      <c r="H58" s="308"/>
      <c r="I58" s="308"/>
      <c r="J58" s="308"/>
      <c r="K58" s="308"/>
      <c r="L58" s="308"/>
      <c r="M58" s="308"/>
      <c r="N58" s="308"/>
      <c r="O58" s="308"/>
      <c r="P58" s="308"/>
      <c r="Q58" s="308"/>
      <c r="R58" s="310"/>
      <c r="S58" s="293"/>
      <c r="T58" s="293"/>
      <c r="U58" s="293"/>
      <c r="V58" s="293"/>
    </row>
    <row r="59" spans="1:22" s="296" customFormat="1" ht="12" customHeight="1" thickTop="1">
      <c r="A59" s="293"/>
      <c r="B59" s="293"/>
      <c r="C59" s="293"/>
      <c r="D59" s="293"/>
      <c r="E59" s="293"/>
      <c r="F59" s="293"/>
      <c r="G59" s="306"/>
      <c r="H59" s="293"/>
      <c r="I59" s="293"/>
      <c r="J59" s="293"/>
      <c r="K59" s="293"/>
      <c r="L59" s="293"/>
      <c r="M59" s="293"/>
      <c r="N59" s="293"/>
      <c r="O59" s="293"/>
      <c r="P59" s="293"/>
      <c r="Q59" s="293"/>
      <c r="R59" s="293"/>
      <c r="S59" s="293"/>
      <c r="T59" s="293"/>
      <c r="U59" s="293"/>
      <c r="V59" s="293"/>
    </row>
    <row r="60" spans="1:22" s="290" customFormat="1" ht="12" customHeight="1">
      <c r="A60" s="259"/>
      <c r="B60" s="259"/>
      <c r="C60" s="259"/>
      <c r="D60" s="259"/>
      <c r="E60" s="259"/>
      <c r="F60" s="259"/>
      <c r="G60" s="259"/>
      <c r="H60" s="259"/>
      <c r="I60" s="259" t="s">
        <v>1794</v>
      </c>
      <c r="J60" s="576" t="e">
        <f>L12</f>
        <v>#N/A</v>
      </c>
      <c r="K60" s="576"/>
      <c r="L60" s="576"/>
      <c r="M60" s="311" t="s">
        <v>1722</v>
      </c>
      <c r="N60" s="610">
        <f ca="1">PAGE1!F19</f>
        <v>42757</v>
      </c>
      <c r="O60" s="576"/>
      <c r="P60" s="576"/>
      <c r="R60" s="259"/>
      <c r="S60" s="259"/>
      <c r="T60" s="259"/>
      <c r="U60" s="259"/>
      <c r="V60" s="259"/>
    </row>
    <row r="61" spans="1:22" s="290" customFormat="1" ht="12" customHeight="1">
      <c r="A61" s="259"/>
      <c r="B61" s="259"/>
      <c r="C61" s="259"/>
      <c r="D61" s="259"/>
      <c r="E61" s="259"/>
      <c r="F61" s="259"/>
      <c r="G61" s="259"/>
      <c r="H61" s="259"/>
      <c r="I61" s="259"/>
      <c r="J61" s="262"/>
      <c r="K61" s="262"/>
      <c r="L61" s="262"/>
      <c r="M61" s="311"/>
      <c r="N61" s="262"/>
      <c r="O61" s="262"/>
      <c r="P61" s="262"/>
      <c r="R61" s="259"/>
      <c r="S61" s="259"/>
      <c r="T61" s="259"/>
      <c r="U61" s="259"/>
      <c r="V61" s="259"/>
    </row>
    <row r="62" spans="1:22" s="290" customFormat="1" ht="12" customHeight="1">
      <c r="A62" s="259"/>
      <c r="B62" s="259"/>
      <c r="C62" s="259"/>
      <c r="D62" s="259"/>
      <c r="E62" s="259"/>
      <c r="F62" s="259"/>
      <c r="G62" s="259"/>
      <c r="H62" s="259"/>
      <c r="I62" s="259"/>
      <c r="J62" s="262"/>
      <c r="K62" s="262"/>
      <c r="L62" s="262"/>
      <c r="M62" s="311"/>
      <c r="N62" s="262"/>
      <c r="O62" s="262"/>
      <c r="P62" s="262"/>
      <c r="R62" s="259"/>
      <c r="S62" s="259"/>
      <c r="T62" s="259"/>
      <c r="U62" s="259"/>
      <c r="V62" s="259"/>
    </row>
    <row r="63" spans="1:22" s="290" customFormat="1" ht="21.75" customHeight="1">
      <c r="A63" s="259"/>
      <c r="B63" s="259"/>
      <c r="C63" s="259"/>
      <c r="D63" s="259"/>
      <c r="E63" s="259"/>
      <c r="F63" s="259"/>
      <c r="G63" s="259"/>
      <c r="H63" s="259"/>
      <c r="I63" s="602" t="s">
        <v>1795</v>
      </c>
      <c r="J63" s="602"/>
      <c r="K63" s="602"/>
      <c r="L63" s="602"/>
      <c r="M63" s="602"/>
      <c r="N63" s="602"/>
      <c r="O63" s="602"/>
      <c r="P63" s="259"/>
      <c r="R63" s="259"/>
      <c r="S63" s="259"/>
      <c r="T63" s="259"/>
      <c r="U63" s="259"/>
      <c r="V63" s="259"/>
    </row>
    <row r="64" spans="1:22" s="315" customFormat="1" ht="12" customHeight="1">
      <c r="A64" s="312">
        <v>1</v>
      </c>
      <c r="B64" s="313" t="s">
        <v>1796</v>
      </c>
      <c r="C64" s="313"/>
      <c r="D64" s="313"/>
      <c r="E64" s="313"/>
      <c r="F64" s="313"/>
      <c r="G64" s="313"/>
      <c r="H64" s="314"/>
      <c r="I64" s="314"/>
      <c r="J64" s="314"/>
      <c r="K64" s="314"/>
      <c r="L64" s="314"/>
      <c r="M64" s="314"/>
      <c r="N64" s="314"/>
      <c r="O64" s="314"/>
      <c r="P64" s="314"/>
      <c r="Q64" s="314"/>
      <c r="R64" s="314"/>
      <c r="S64" s="314"/>
      <c r="T64" s="314"/>
      <c r="U64" s="314"/>
      <c r="V64" s="314"/>
    </row>
    <row r="65" spans="1:22" s="315" customFormat="1" ht="12" customHeight="1">
      <c r="A65" s="312">
        <v>2</v>
      </c>
      <c r="B65" s="314" t="s">
        <v>1797</v>
      </c>
      <c r="C65" s="314"/>
      <c r="D65" s="314"/>
      <c r="E65" s="314"/>
      <c r="F65" s="314"/>
      <c r="G65" s="314"/>
      <c r="H65" s="314"/>
      <c r="I65" s="314"/>
      <c r="J65" s="314"/>
      <c r="K65" s="314"/>
      <c r="L65" s="314"/>
      <c r="M65" s="314"/>
      <c r="N65" s="314"/>
      <c r="O65" s="314"/>
      <c r="P65" s="316" t="s">
        <v>1723</v>
      </c>
      <c r="Q65" s="314"/>
      <c r="R65" s="314"/>
      <c r="S65" s="314"/>
      <c r="T65" s="314"/>
      <c r="U65" s="314"/>
      <c r="V65" s="314"/>
    </row>
    <row r="67" spans="1:22" ht="12" customHeight="1">
      <c r="A67" s="601"/>
      <c r="B67" s="601"/>
      <c r="C67" s="601"/>
      <c r="D67" s="601"/>
      <c r="E67" s="601"/>
      <c r="F67" s="601"/>
      <c r="G67" s="601"/>
      <c r="H67" s="601"/>
      <c r="I67" s="601"/>
      <c r="J67" s="601"/>
      <c r="K67" s="601"/>
      <c r="L67" s="601"/>
      <c r="M67" s="601"/>
      <c r="N67" s="601"/>
      <c r="O67" s="601"/>
      <c r="P67" s="601"/>
      <c r="Q67" s="601"/>
      <c r="R67" s="601"/>
    </row>
  </sheetData>
  <sheetProtection algorithmName="SHA-512" hashValue="DMGL4s8aWAfOwwT651XmUAtPc7ppgq2Ne28p0CW62nIA4cjNvKSjoftndKfCxjsdjQeeRuzIWG/sbPbyKFtLIg==" saltValue="7EKlmVWCHM4BMrZ1QF0tLg==" spinCount="100000" sheet="1" objects="1" scenarios="1"/>
  <mergeCells count="61">
    <mergeCell ref="A67:R67"/>
    <mergeCell ref="I63:O63"/>
    <mergeCell ref="B9:I9"/>
    <mergeCell ref="J12:K12"/>
    <mergeCell ref="L12:O12"/>
    <mergeCell ref="B41:R41"/>
    <mergeCell ref="B44:R44"/>
    <mergeCell ref="B45:I45"/>
    <mergeCell ref="B47:L47"/>
    <mergeCell ref="J60:L60"/>
    <mergeCell ref="N60:P60"/>
    <mergeCell ref="B36:H36"/>
    <mergeCell ref="I36:P36"/>
    <mergeCell ref="B37:R37"/>
    <mergeCell ref="B38:R38"/>
    <mergeCell ref="B39:R39"/>
    <mergeCell ref="B40:R40"/>
    <mergeCell ref="B32:I32"/>
    <mergeCell ref="B33:R33"/>
    <mergeCell ref="B34:I34"/>
    <mergeCell ref="J34:R34"/>
    <mergeCell ref="B35:C35"/>
    <mergeCell ref="D35:G35"/>
    <mergeCell ref="H35:J35"/>
    <mergeCell ref="B31:R31"/>
    <mergeCell ref="B24:O24"/>
    <mergeCell ref="B25:C25"/>
    <mergeCell ref="D25:G25"/>
    <mergeCell ref="H25:I25"/>
    <mergeCell ref="J25:L25"/>
    <mergeCell ref="M25:O25"/>
    <mergeCell ref="P25:R25"/>
    <mergeCell ref="B26:C26"/>
    <mergeCell ref="D26:F26"/>
    <mergeCell ref="B28:D28"/>
    <mergeCell ref="B29:R29"/>
    <mergeCell ref="B23:F23"/>
    <mergeCell ref="B14:F14"/>
    <mergeCell ref="B15:R15"/>
    <mergeCell ref="B16:H16"/>
    <mergeCell ref="B17:G17"/>
    <mergeCell ref="H17:J17"/>
    <mergeCell ref="M17:P17"/>
    <mergeCell ref="B18:I18"/>
    <mergeCell ref="B19:F19"/>
    <mergeCell ref="B20:J20"/>
    <mergeCell ref="B21:Q21"/>
    <mergeCell ref="B22:R22"/>
    <mergeCell ref="A7:R7"/>
    <mergeCell ref="C11:I11"/>
    <mergeCell ref="K11:L11"/>
    <mergeCell ref="M11:O11"/>
    <mergeCell ref="C12:I12"/>
    <mergeCell ref="Q12:R12"/>
    <mergeCell ref="B6:F6"/>
    <mergeCell ref="Q6:R6"/>
    <mergeCell ref="B2:F2"/>
    <mergeCell ref="B3:F3"/>
    <mergeCell ref="Q4:R4"/>
    <mergeCell ref="C5:E5"/>
    <mergeCell ref="Q5:R5"/>
  </mergeCells>
  <pageMargins left="0.39370078740157483" right="0" top="0" bottom="0" header="0.31496062992125984" footer="0.31496062992125984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PAGE1</vt:lpstr>
      <vt:lpstr>PAGE2</vt:lpstr>
      <vt:lpstr>Clients</vt:lpstr>
      <vt:lpstr>factures</vt:lpstr>
      <vt:lpstr>main d'oeuvre</vt:lpstr>
      <vt:lpstr>fournisseurs</vt:lpstr>
      <vt:lpstr>BROUILLON</vt:lpstr>
      <vt:lpstr>CUBAGE BOIS</vt:lpstr>
      <vt:lpstr>attestation</vt:lpstr>
      <vt:lpstr>PAGE1!Zone_d_impression</vt:lpstr>
      <vt:lpstr>PAGE2!Zone_d_impression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Sicaud Frédéric</dc:creator>
  <cp:lastModifiedBy>gmb</cp:lastModifiedBy>
  <cp:lastPrinted>2016-12-05T18:55:50Z</cp:lastPrinted>
  <dcterms:created xsi:type="dcterms:W3CDTF">2005-03-03T14:34:40Z</dcterms:created>
  <dcterms:modified xsi:type="dcterms:W3CDTF">2017-01-22T12:38:15Z</dcterms:modified>
</cp:coreProperties>
</file>