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8700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</sheets>
  <functionGroups builtInGroupCount="18"/>
  <definedNames>
    <definedName name="ListeNom">OFFSET(BD!#REF!,1,0,COUNTA(BD!#REF!)-1,1)</definedName>
  </definedNames>
  <calcPr calcId="162913"/>
</workbook>
</file>

<file path=xl/calcChain.xml><?xml version="1.0" encoding="utf-8"?>
<calcChain xmlns="http://schemas.openxmlformats.org/spreadsheetml/2006/main">
  <c r="AE2" i="1" l="1"/>
  <c r="AE3" i="1"/>
  <c r="AE4" i="1"/>
  <c r="AE5" i="1"/>
  <c r="O12" i="6" l="1"/>
  <c r="O11" i="6"/>
  <c r="O10" i="6"/>
  <c r="O9" i="6"/>
  <c r="O8" i="6"/>
  <c r="O7" i="6"/>
  <c r="O6" i="6"/>
  <c r="O5" i="6"/>
  <c r="N12" i="6"/>
  <c r="N11" i="6"/>
  <c r="N10" i="6"/>
  <c r="N9" i="6"/>
  <c r="N8" i="6"/>
  <c r="N7" i="6"/>
  <c r="N6" i="6"/>
  <c r="N5" i="6"/>
  <c r="M12" i="6"/>
  <c r="M11" i="6"/>
  <c r="M10" i="6"/>
  <c r="M9" i="6"/>
  <c r="M8" i="6"/>
  <c r="M7" i="6"/>
  <c r="M6" i="6"/>
  <c r="M5" i="6"/>
  <c r="L12" i="6"/>
  <c r="L11" i="6"/>
  <c r="L10" i="6"/>
  <c r="L9" i="6"/>
  <c r="L8" i="6"/>
  <c r="L7" i="6"/>
  <c r="L6" i="6"/>
  <c r="L5" i="6"/>
  <c r="K12" i="6"/>
  <c r="K11" i="6"/>
  <c r="K10" i="6"/>
  <c r="K9" i="6"/>
  <c r="K8" i="6"/>
  <c r="K7" i="6"/>
  <c r="K6" i="6"/>
  <c r="K5" i="6"/>
  <c r="J12" i="6"/>
  <c r="J11" i="6"/>
  <c r="J10" i="6"/>
  <c r="J9" i="6"/>
  <c r="J8" i="6"/>
  <c r="J7" i="6"/>
  <c r="J6" i="6"/>
  <c r="J5" i="6"/>
  <c r="I12" i="6"/>
  <c r="I11" i="6"/>
  <c r="I10" i="6"/>
  <c r="I9" i="6"/>
  <c r="I8" i="6"/>
  <c r="I7" i="6"/>
  <c r="I6" i="6"/>
  <c r="I5" i="6"/>
  <c r="H12" i="6"/>
  <c r="H11" i="6"/>
  <c r="H10" i="6"/>
  <c r="H9" i="6"/>
  <c r="H8" i="6"/>
  <c r="H7" i="6"/>
  <c r="H6" i="6"/>
  <c r="H5" i="6"/>
  <c r="G12" i="6"/>
  <c r="G11" i="6"/>
  <c r="G10" i="6"/>
  <c r="G9" i="6"/>
  <c r="G8" i="6"/>
  <c r="G7" i="6"/>
  <c r="G6" i="6"/>
  <c r="G5" i="6"/>
  <c r="F12" i="6"/>
  <c r="F11" i="6"/>
  <c r="F10" i="6"/>
  <c r="F9" i="6"/>
  <c r="F8" i="6"/>
  <c r="F7" i="6"/>
  <c r="F6" i="6"/>
  <c r="F5" i="6"/>
  <c r="E12" i="6"/>
  <c r="E11" i="6"/>
  <c r="E10" i="6"/>
  <c r="E9" i="6"/>
  <c r="E8" i="6"/>
  <c r="E7" i="6"/>
  <c r="E6" i="6"/>
  <c r="E5" i="6"/>
  <c r="D12" i="6"/>
  <c r="D11" i="6"/>
  <c r="D10" i="6"/>
  <c r="D9" i="6"/>
  <c r="D8" i="6"/>
  <c r="D7" i="6"/>
  <c r="D6" i="6"/>
  <c r="D5" i="6"/>
  <c r="O41" i="6" l="1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P41" i="6" s="1"/>
  <c r="O27" i="6"/>
  <c r="N27" i="6"/>
  <c r="M27" i="6"/>
  <c r="L27" i="6"/>
  <c r="K27" i="6"/>
  <c r="J27" i="6"/>
  <c r="I27" i="6"/>
  <c r="H27" i="6"/>
  <c r="G27" i="6"/>
  <c r="F27" i="6"/>
  <c r="E27" i="6"/>
  <c r="D27" i="6"/>
  <c r="P26" i="6"/>
  <c r="P25" i="6"/>
  <c r="P24" i="6"/>
  <c r="P23" i="6"/>
  <c r="P22" i="6"/>
  <c r="P21" i="6"/>
  <c r="P20" i="6"/>
  <c r="P19" i="6"/>
  <c r="O13" i="6" l="1"/>
  <c r="N13" i="6"/>
  <c r="M13" i="6"/>
  <c r="K13" i="6"/>
  <c r="J13" i="6"/>
  <c r="I13" i="6"/>
  <c r="G13" i="6"/>
  <c r="F13" i="6"/>
  <c r="E13" i="6"/>
  <c r="H13" i="6"/>
  <c r="L13" i="6"/>
  <c r="P27" i="6"/>
  <c r="P6" i="6"/>
  <c r="P8" i="6"/>
  <c r="P10" i="6"/>
  <c r="P12" i="6"/>
  <c r="P5" i="6"/>
  <c r="P7" i="6"/>
  <c r="P9" i="6"/>
  <c r="P11" i="6"/>
  <c r="D13" i="6"/>
  <c r="P13" i="6" l="1"/>
  <c r="A1" i="5" l="1"/>
  <c r="E15" i="5" s="1"/>
  <c r="G43" i="5"/>
  <c r="B24" i="5"/>
  <c r="F24" i="5"/>
  <c r="E24" i="5"/>
  <c r="D24" i="5"/>
  <c r="C24" i="5"/>
  <c r="D20" i="5"/>
  <c r="A18" i="5"/>
  <c r="E18" i="5"/>
  <c r="C18" i="5"/>
  <c r="A17" i="5"/>
  <c r="E17" i="5"/>
  <c r="C17" i="5"/>
  <c r="F7" i="5"/>
  <c r="F6" i="5"/>
  <c r="F5" i="5"/>
  <c r="C46" i="5"/>
  <c r="D46" i="5" s="1"/>
  <c r="C47" i="5" l="1"/>
  <c r="A1" i="2"/>
  <c r="B1" i="6" s="1"/>
</calcChain>
</file>

<file path=xl/sharedStrings.xml><?xml version="1.0" encoding="utf-8"?>
<sst xmlns="http://schemas.openxmlformats.org/spreadsheetml/2006/main" count="252" uniqueCount="143">
  <si>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</si>
  <si>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</si>
  <si>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</si>
  <si>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</si>
  <si>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</si>
  <si>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</si>
  <si>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</si>
  <si>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</si>
  <si>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</si>
  <si>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</si>
  <si>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</si>
  <si>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</si>
  <si>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</si>
  <si>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</si>
  <si>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</si>
  <si>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</si>
  <si>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Sophie</t>
  </si>
  <si>
    <t>Commande 21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</si>
  <si>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</si>
  <si>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</si>
  <si>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</si>
  <si>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</si>
  <si>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</si>
  <si>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</si>
  <si>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</si>
  <si>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</si>
  <si>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</si>
  <si>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</si>
  <si>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</si>
  <si>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</si>
  <si>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</si>
  <si>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</si>
  <si>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</si>
  <si>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</si>
  <si>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</si>
  <si>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</si>
  <si>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</si>
  <si>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</si>
  <si>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</si>
  <si>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Etablissement9</t>
  </si>
  <si>
    <t>MARS</t>
  </si>
  <si>
    <t>MAI</t>
  </si>
  <si>
    <t>JUIN</t>
  </si>
  <si>
    <t>AOUT</t>
  </si>
  <si>
    <t>TOTAL</t>
  </si>
  <si>
    <t>FLEUR</t>
  </si>
  <si>
    <t>PRESTATAIRE 2</t>
  </si>
  <si>
    <t>2500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</si>
  <si>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</si>
  <si>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</si>
  <si>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</si>
  <si>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</si>
  <si>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</si>
  <si>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</si>
  <si>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</si>
  <si>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</si>
  <si>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</si>
  <si>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</si>
  <si>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</si>
  <si>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</si>
  <si>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</si>
  <si>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</si>
  <si>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</si>
  <si>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</si>
  <si>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</si>
  <si>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</si>
  <si>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</si>
  <si>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</si>
  <si>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</si>
  <si>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</si>
  <si>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</si>
  <si>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</si>
  <si>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</si>
  <si>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</si>
  <si>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</si>
  <si>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</si>
  <si>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</si>
  <si>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</si>
  <si>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</si>
  <si>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</si>
  <si>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</si>
  <si>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</si>
  <si>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</si>
  <si>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</si>
  <si>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</si>
  <si>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</si>
  <si>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</si>
  <si>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</si>
  <si>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</si>
  <si>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</si>
  <si>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</si>
  <si>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</si>
  <si>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</si>
  <si>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</si>
  <si>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</si>
  <si>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</si>
  <si>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</si>
  <si>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</si>
  <si>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</si>
  <si>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</si>
  <si>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</si>
  <si>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</si>
  <si>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</si>
  <si>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</si>
  <si>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</si>
  <si>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</si>
  <si>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</si>
  <si>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</si>
  <si>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</si>
  <si>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</si>
  <si>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</si>
  <si>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</si>
  <si>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</si>
  <si>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</si>
  <si>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</si>
  <si>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</si>
  <si>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</si>
  <si>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</si>
  <si>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</si>
  <si>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</si>
  <si>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</si>
  <si>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</si>
  <si>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</si>
  <si>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</si>
  <si>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</si>
  <si>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</si>
  <si>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</si>
  <si>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</si>
  <si>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</si>
  <si>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</si>
  <si>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</si>
  <si>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</si>
  <si>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</si>
  <si>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</si>
  <si>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</si>
  <si>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</si>
  <si>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</si>
  <si>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</si>
  <si>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</si>
  <si>
    <t>2 an(s) 9 mois 27 jours</t>
  </si>
  <si>
    <t>Classeur1.pdf</t>
  </si>
  <si>
    <t>C:\Users\sandrine\Documents\FACTURATION TEST\Classeur1.pdf</t>
  </si>
  <si>
    <t>Date de la dernière utilisation du fichier : lundi 20 août 2018 à 23:58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</si>
</sst>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name val="Century Gothic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0" fontId="3" fillId="0" borderId="0"/>
    <xf numFmtId="0" fontId="8" fillId="0" borderId="0"/>
    <xf numFmtId="9" fontId="8" fillId="0" borderId="0" applyFont="0" applyFill="0" applyBorder="0" applyAlignment="0" applyProtection="0"/>
    <xf numFmtId="0" fontId="2" fillId="0" borderId="0"/>
    <xf numFmtId="0" fontId="1" fillId="0" borderId="0"/>
  </cellStyleXfs>
  <cellXfs count="138">
    <xf numFmtId="0" fontId="0" fillId="0" borderId="0" xfId="0"/>
    <xf numFmtId="0" fontId="10" fillId="0" borderId="0" xfId="0" applyFont="1"/>
    <xf numFmtId="0" fontId="4" fillId="0" borderId="0" xfId="0" applyFont="1"/>
    <xf numFmtId="0" fontId="6" fillId="0" borderId="0" xfId="0" applyFont="1"/>
    <xf numFmtId="14" fontId="10" fillId="0" borderId="0" xfId="0" applyNumberFormat="1" applyFont="1"/>
    <xf numFmtId="14" fontId="0" fillId="0" borderId="0" xfId="0" applyNumberFormat="1"/>
    <xf numFmtId="4" fontId="10" fillId="0" borderId="0" xfId="0" applyNumberFormat="1" applyFont="1"/>
    <xf numFmtId="4" fontId="6" fillId="0" borderId="0" xfId="0" applyNumberFormat="1" applyFont="1"/>
    <xf numFmtId="0" fontId="7" fillId="0" borderId="0" xfId="0" applyFont="1"/>
    <xf numFmtId="0" fontId="3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9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12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6" fillId="4" borderId="7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 wrapText="1"/>
    </xf>
    <xf numFmtId="0" fontId="16" fillId="4" borderId="7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11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11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5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7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8" fillId="2" borderId="0" xfId="0" applyFont="1" applyFill="1"/>
    <xf numFmtId="0" fontId="15" fillId="0" borderId="0" xfId="0" applyFont="1"/>
    <xf numFmtId="0" fontId="19" fillId="2" borderId="0" xfId="0" applyFont="1" applyFill="1" applyAlignment="1">
      <alignment horizontal="centerContinuous" vertical="center"/>
    </xf>
    <xf numFmtId="0" fontId="20" fillId="2" borderId="0" xfId="0" applyFont="1" applyFill="1" applyAlignment="1">
      <alignment horizontal="centerContinuous" vertical="center"/>
    </xf>
    <xf numFmtId="14" fontId="20" fillId="2" borderId="0" xfId="0" applyNumberFormat="1" applyFont="1" applyFill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22" fillId="4" borderId="1" xfId="0" applyFont="1" applyFill="1" applyBorder="1"/>
    <xf numFmtId="0" fontId="22" fillId="4" borderId="1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Continuous" vertical="center"/>
    </xf>
    <xf numFmtId="0" fontId="22" fillId="4" borderId="12" xfId="0" applyFont="1" applyFill="1" applyBorder="1" applyAlignment="1">
      <alignment horizontal="centerContinuous" vertical="center"/>
    </xf>
    <xf numFmtId="0" fontId="22" fillId="4" borderId="4" xfId="0" applyFont="1" applyFill="1" applyBorder="1" applyAlignment="1">
      <alignment horizontal="centerContinuous" vertical="center"/>
    </xf>
    <xf numFmtId="4" fontId="22" fillId="4" borderId="1" xfId="0" applyNumberFormat="1" applyFont="1" applyFill="1" applyBorder="1" applyAlignment="1">
      <alignment horizontal="center" vertical="center"/>
    </xf>
    <xf numFmtId="4" fontId="22" fillId="5" borderId="29" xfId="0" applyNumberFormat="1" applyFont="1" applyFill="1" applyBorder="1" applyAlignment="1">
      <alignment horizontal="center" vertical="center"/>
    </xf>
    <xf numFmtId="4" fontId="22" fillId="0" borderId="2" xfId="0" applyNumberFormat="1" applyFont="1" applyBorder="1" applyAlignment="1">
      <alignment horizontal="center" vertical="center"/>
    </xf>
    <xf numFmtId="4" fontId="22" fillId="0" borderId="32" xfId="0" applyNumberFormat="1" applyFont="1" applyBorder="1" applyAlignment="1">
      <alignment horizontal="center" vertical="center"/>
    </xf>
    <xf numFmtId="4" fontId="22" fillId="0" borderId="29" xfId="0" applyNumberFormat="1" applyFont="1" applyBorder="1" applyAlignment="1">
      <alignment horizontal="center" vertical="center"/>
    </xf>
    <xf numFmtId="0" fontId="9" fillId="3" borderId="0" xfId="1" applyFill="1"/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7" xfId="7" applyFont="1" applyBorder="1" applyAlignment="1">
      <alignment horizontal="center" vertical="center"/>
    </xf>
    <xf numFmtId="0" fontId="11" fillId="0" borderId="22" xfId="7" applyFont="1" applyBorder="1" applyAlignment="1">
      <alignment horizontal="center" vertical="center"/>
    </xf>
    <xf numFmtId="0" fontId="13" fillId="0" borderId="23" xfId="7" applyFont="1" applyBorder="1" applyAlignment="1">
      <alignment horizontal="center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11" fillId="0" borderId="1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15" xfId="7" applyFont="1" applyBorder="1" applyAlignment="1">
      <alignment horizontal="left" vertical="center"/>
    </xf>
    <xf numFmtId="0" fontId="11" fillId="0" borderId="0" xfId="7" applyFont="1" applyBorder="1" applyAlignment="1">
      <alignment horizontal="left" vertical="center"/>
    </xf>
    <xf numFmtId="0" fontId="11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11" fillId="0" borderId="11" xfId="7" applyFont="1" applyBorder="1" applyAlignment="1">
      <alignment horizontal="center" vertical="center"/>
    </xf>
    <xf numFmtId="0" fontId="11" fillId="0" borderId="12" xfId="7" applyFont="1" applyBorder="1" applyAlignment="1">
      <alignment horizontal="center" vertical="center"/>
    </xf>
    <xf numFmtId="0" fontId="11" fillId="0" borderId="4" xfId="7" applyFon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1" xfId="7" applyFont="1" applyBorder="1" applyAlignment="1">
      <alignment horizontal="right" vertical="center"/>
    </xf>
    <xf numFmtId="0" fontId="15" fillId="0" borderId="12" xfId="7" applyFont="1" applyBorder="1" applyAlignment="1">
      <alignment horizontal="right" vertical="center"/>
    </xf>
    <xf numFmtId="0" fontId="22" fillId="4" borderId="1" xfId="0" applyFont="1" applyFill="1" applyBorder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Pourcentage 2" xfId="5"/>
  </cellStyles>
  <dxfs count="55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Rubanverslehaut1_Cliquer" textlink="">
      <xdr:nvSpPr>
        <xdr:cNvPr id="2" name="Ruban vers le haut 1"/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7" name="Tableau1" displayName="Tableau1" ref="A1:AE5" totalsRowShown="0" headerRowDxfId="54" dataDxfId="53">
  <autoFilter ref="A1:AE5"/>
  <tableColumns count="31">
    <tableColumn id="1" name="Famille" dataDxfId="52"/>
    <tableColumn id="2" name="Enfant" dataDxfId="51"/>
    <tableColumn id="3" name="Naissance" dataDxfId="50"/>
    <tableColumn id="4" name="Age" dataDxfId="49"/>
    <tableColumn id="5" name="N° de commande" dataDxfId="48"/>
    <tableColumn id="6" name="Descriptif" dataDxfId="47"/>
    <tableColumn id="7" name="Entrée" dataDxfId="46"/>
    <tableColumn id="8" name="Sortie" dataDxfId="45"/>
    <tableColumn id="9" name="Annuel"/>
    <tableColumn id="10" name="Facturer"/>
    <tableColumn id="11" name="Etablissement" dataDxfId="44"/>
    <tableColumn id="12" name="Prestataire" dataDxfId="43"/>
    <tableColumn id="13" name="Mode de règlement" dataDxfId="42"/>
    <tableColumn id="14" name="Contrat1" dataDxfId="41"/>
    <tableColumn id="15" name="Contrat2" dataDxfId="40"/>
    <tableColumn id="31" name="Contrat3" dataDxfId="39"/>
    <tableColumn id="30" name="janvier" dataDxfId="38"/>
    <tableColumn id="29" name="fevrier" dataDxfId="37"/>
    <tableColumn id="28" name="mars" dataDxfId="36"/>
    <tableColumn id="27" name="avril" dataDxfId="35"/>
    <tableColumn id="26" name="mai" dataDxfId="34"/>
    <tableColumn id="25" name="juin" dataDxfId="33"/>
    <tableColumn id="24" name="juillet" dataDxfId="32"/>
    <tableColumn id="23" name="aout" dataDxfId="31"/>
    <tableColumn id="22" name="septembre" dataDxfId="30"/>
    <tableColumn id="21" name="octobre" dataDxfId="29"/>
    <tableColumn id="20" name="novembre" dataDxfId="28"/>
    <tableColumn id="19" name="decembre" dataDxfId="27"/>
    <tableColumn id="18" name="n-1" dataDxfId="26"/>
    <tableColumn id="17" name="n+1" dataDxfId="25"/>
    <tableColumn id="16" name="total" dataDxfId="24">
      <calculatedColumnFormula>SUM(Tableau1[[#This Row],[janvier]:[n+1]])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9" totalsRowShown="0" headerRowDxfId="22" headerRowBorderDxfId="21" tableBorderDxfId="20" headerRowCellStyle="Normal 5" dataCellStyle="Normal 5">
  <autoFilter ref="A1:N9"/>
  <tableColumns count="14">
    <tableColumn id="1" name="DENOMINATION" dataDxfId="19" dataCellStyle="Normal 5"/>
    <tableColumn id="2" name="ADRESSE" dataDxfId="18" dataCellStyle="Normal 5"/>
    <tableColumn id="3" name="COMPLEMENT D'ADRESSE" dataDxfId="17" dataCellStyle="Normal 5"/>
    <tableColumn id="4" name="C.P - VILLE" dataDxfId="16" dataCellStyle="Normal 5"/>
    <tableColumn id="5" name="MODE  DE          REGLEMENT" dataDxfId="15" dataCellStyle="Normal 5"/>
    <tableColumn id="6" name="DELAI DE REGLEMENT" dataDxfId="14" dataCellStyle="Normal 5"/>
    <tableColumn id="7" name="Colonne1" dataDxfId="13" dataCellStyle="Normal 5"/>
    <tableColumn id="8" name="TEL" dataDxfId="12" dataCellStyle="Normal 5"/>
    <tableColumn id="9" name="CONTACT" dataDxfId="11" dataCellStyle="Normal 5"/>
    <tableColumn id="10" name="ADRESSE MAIL" dataDxfId="10" dataCellStyle="Normal 5"/>
    <tableColumn id="11" name="FACTURE  PAR MAIL" dataDxfId="9" dataCellStyle="Normal 5"/>
    <tableColumn id="12" name="CONTRAT 1" dataDxfId="8" dataCellStyle="Normal 5"/>
    <tableColumn id="13" name="CONTRAT 2" dataDxfId="7" dataCellStyle="Normal 5"/>
    <tableColumn id="14" name="CONTRAT 3" dataDxfId="6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Packages/Microsoft.MicrosoftEdge_8wekyb3d8bbwe/TempState/AppData/Local/Packages/Microsoft.MicrosoftEdge_8wekyb3d8bbwe/TempState/AppData/Local/Packages/Microsoft.MicrosoftEdge_8wekyb3d8bbwe/TempState/Downloads/Classeur1.pdf" TargetMode="External"/><Relationship Id="rId1" Type="http://schemas.openxmlformats.org/officeDocument/2006/relationships/hyperlink" Target="../AppData/Local/Packages/Microsoft.MicrosoftEdge_8wekyb3d8bbwe/TempState/AppData/Local/Packages/Microsoft.MicrosoftEdge_8wekyb3d8bbwe/TempState/AppData/Local/Packages/Microsoft.MicrosoftEdge_8wekyb3d8bbwe/TempState/Downloads/Classeur1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"/>
  <sheetViews>
    <sheetView tabSelected="1" zoomScaleNormal="100" workbookViewId="0">
      <selection activeCell="D1" sqref="D1"/>
    </sheetView>
  </sheetViews>
  <sheetFormatPr baseColWidth="10" defaultRowHeight="12" x14ac:dyDescent="0.2"/>
  <cols>
    <col min="1" max="1" width="12.5703125" style="2" customWidth="1"/>
    <col min="2" max="9" width="11.42578125" style="2"/>
    <col min="10" max="10" width="13.140625" style="2" bestFit="1" customWidth="1"/>
    <col min="11" max="11" width="9.85546875" style="2" bestFit="1" customWidth="1"/>
    <col min="12" max="12" width="12.85546875" style="2" bestFit="1" customWidth="1"/>
    <col min="13" max="16384" width="11.42578125" style="2"/>
  </cols>
  <sheetData>
    <row r="1" spans="1:17" ht="69.95" customHeight="1" x14ac:dyDescent="0.2">
      <c r="A1" s="16">
        <f ca="1">+TODAY()</f>
        <v>43332</v>
      </c>
      <c r="B1" s="10"/>
      <c r="C1" s="10"/>
      <c r="D1" s="10"/>
      <c r="E1" s="10"/>
      <c r="F1" s="10"/>
      <c r="G1" s="10"/>
      <c r="H1" s="11"/>
      <c r="I1" s="10"/>
      <c r="J1" s="12"/>
      <c r="K1" s="12"/>
      <c r="L1" s="12"/>
      <c r="M1" s="12"/>
      <c r="N1" s="12"/>
      <c r="O1" s="10"/>
      <c r="P1" s="10"/>
      <c r="Q1" s="10"/>
    </row>
    <row r="2" spans="1:17" ht="409.5" customHeight="1" x14ac:dyDescent="0.2">
      <c r="A2" s="10"/>
      <c r="B2" s="10"/>
      <c r="C2" s="13"/>
      <c r="D2" s="10"/>
      <c r="E2" s="10"/>
      <c r="F2" s="10"/>
      <c r="G2" s="10"/>
      <c r="H2" s="11"/>
      <c r="I2" s="10"/>
      <c r="J2" s="10"/>
      <c r="K2" s="10"/>
      <c r="L2" s="10"/>
      <c r="M2" s="10"/>
      <c r="N2" s="11"/>
      <c r="O2" s="11"/>
      <c r="P2" s="10"/>
      <c r="Q2" s="10"/>
    </row>
    <row r="3" spans="1:17" s="74" customFormat="1" ht="69.95" customHeight="1" x14ac:dyDescent="0.25">
      <c r="A3" s="71"/>
      <c r="B3" s="72"/>
      <c r="C3" s="72"/>
      <c r="D3" s="76"/>
      <c r="E3" s="75" t="s">
        <v>142</v>
      </c>
      <c r="F3" s="76"/>
      <c r="G3" s="76"/>
      <c r="H3" s="77"/>
      <c r="I3" s="76"/>
      <c r="J3" s="76"/>
      <c r="K3" s="76"/>
      <c r="L3" s="76"/>
      <c r="M3" s="73"/>
      <c r="N3" s="73"/>
      <c r="O3" s="72"/>
      <c r="P3" s="72"/>
      <c r="Q3" s="72"/>
    </row>
    <row r="4" spans="1:17" s="14" customFormat="1" x14ac:dyDescent="0.2">
      <c r="N4" s="15"/>
      <c r="O4" s="15"/>
    </row>
    <row r="5" spans="1:17" s="14" customFormat="1" x14ac:dyDescent="0.2"/>
    <row r="6" spans="1:17" s="14" customFormat="1" ht="12.75" x14ac:dyDescent="0.2">
      <c r="L6" s="101" t="s">
        <v>140</v>
      </c>
      <c r="N6" s="101" t="s">
        <v>140</v>
      </c>
    </row>
    <row r="7" spans="1:17" s="14" customFormat="1" x14ac:dyDescent="0.2"/>
    <row r="8" spans="1:17" s="14" customFormat="1" x14ac:dyDescent="0.2"/>
    <row r="9" spans="1:17" s="14" customFormat="1" x14ac:dyDescent="0.2"/>
    <row r="10" spans="1:17" s="14" customFormat="1" ht="12.75" x14ac:dyDescent="0.2">
      <c r="L10" s="101"/>
    </row>
    <row r="11" spans="1:17" s="14" customFormat="1" x14ac:dyDescent="0.2"/>
    <row r="12" spans="1:17" s="14" customFormat="1" x14ac:dyDescent="0.2"/>
    <row r="13" spans="1:17" s="14" customFormat="1" x14ac:dyDescent="0.2"/>
    <row r="14" spans="1:17" s="14" customFormat="1" x14ac:dyDescent="0.2"/>
    <row r="15" spans="1:17" s="14" customFormat="1" x14ac:dyDescent="0.2"/>
    <row r="16" spans="1:17" s="14" customFormat="1" x14ac:dyDescent="0.2"/>
    <row r="17" s="14" customFormat="1" x14ac:dyDescent="0.2"/>
    <row r="18" s="14" customFormat="1" x14ac:dyDescent="0.2"/>
    <row r="19" s="14" customFormat="1" x14ac:dyDescent="0.2"/>
    <row r="20" s="14" customFormat="1" x14ac:dyDescent="0.2"/>
    <row r="21" s="14" customFormat="1" x14ac:dyDescent="0.2"/>
    <row r="22" s="14" customFormat="1" x14ac:dyDescent="0.2"/>
    <row r="23" s="14" customFormat="1" x14ac:dyDescent="0.2"/>
    <row r="24" s="14" customFormat="1" x14ac:dyDescent="0.2"/>
    <row r="25" s="14" customFormat="1" x14ac:dyDescent="0.2"/>
    <row r="26" s="14" customFormat="1" x14ac:dyDescent="0.2"/>
    <row r="27" s="14" customFormat="1" x14ac:dyDescent="0.2"/>
    <row r="28" s="14" customFormat="1" x14ac:dyDescent="0.2"/>
    <row r="29" s="14" customFormat="1" x14ac:dyDescent="0.2"/>
    <row r="30" s="14" customFormat="1" x14ac:dyDescent="0.2"/>
    <row r="31" s="14" customFormat="1" x14ac:dyDescent="0.2"/>
    <row r="32" s="14" customFormat="1" x14ac:dyDescent="0.2"/>
    <row r="33" s="14" customFormat="1" x14ac:dyDescent="0.2"/>
    <row r="34" s="14" customFormat="1" x14ac:dyDescent="0.2"/>
    <row r="35" s="14" customFormat="1" x14ac:dyDescent="0.2"/>
    <row r="36" s="14" customFormat="1" x14ac:dyDescent="0.2"/>
    <row r="37" s="14" customFormat="1" x14ac:dyDescent="0.2"/>
    <row r="38" s="14" customFormat="1" x14ac:dyDescent="0.2"/>
    <row r="39" s="14" customFormat="1" x14ac:dyDescent="0.2"/>
    <row r="40" s="14" customFormat="1" x14ac:dyDescent="0.2"/>
    <row r="41" s="14" customFormat="1" x14ac:dyDescent="0.2"/>
    <row r="42" s="14" customFormat="1" x14ac:dyDescent="0.2"/>
    <row r="43" s="14" customFormat="1" x14ac:dyDescent="0.2"/>
    <row r="44" s="14" customFormat="1" x14ac:dyDescent="0.2"/>
    <row r="45" s="14" customFormat="1" x14ac:dyDescent="0.2"/>
    <row r="46" s="14" customFormat="1" x14ac:dyDescent="0.2"/>
  </sheetData>
  <phoneticPr fontId="0" type="noConversion"/>
  <hyperlinks>
    <hyperlink ref="L10"/>
    <hyperlink ref="L6" r:id="rId1"/>
    <hyperlink ref="N6" r:id="rId2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8"/>
  <sheetViews>
    <sheetView zoomScaleNormal="100" zoomScaleSheetLayoutView="100" workbookViewId="0">
      <selection activeCell="C7" sqref="C7"/>
    </sheetView>
  </sheetViews>
  <sheetFormatPr baseColWidth="10" defaultRowHeight="14.25" x14ac:dyDescent="0.3"/>
  <cols>
    <col min="1" max="1" width="8.7109375" style="1" bestFit="1" customWidth="1"/>
    <col min="2" max="2" width="12.42578125" style="1" bestFit="1" customWidth="1"/>
    <col min="3" max="3" width="12.140625" style="1" bestFit="1" customWidth="1"/>
    <col min="4" max="4" width="16.28515625" style="1" bestFit="1" customWidth="1"/>
    <col min="5" max="5" width="17.7109375" style="1" customWidth="1"/>
    <col min="6" max="6" width="11.5703125" style="1" customWidth="1"/>
    <col min="7" max="7" width="10.42578125" style="1" bestFit="1" customWidth="1"/>
    <col min="8" max="8" width="13.7109375" bestFit="1" customWidth="1"/>
    <col min="9" max="9" width="11.28515625" style="1" bestFit="1" customWidth="1"/>
    <col min="10" max="10" width="9.85546875" style="3" bestFit="1" customWidth="1"/>
    <col min="11" max="11" width="14.5703125" style="3" bestFit="1" customWidth="1"/>
    <col min="12" max="12" width="12" style="3" bestFit="1" customWidth="1"/>
    <col min="13" max="13" width="18.5703125" style="3" customWidth="1"/>
    <col min="14" max="15" width="9.7109375" style="1" bestFit="1" customWidth="1"/>
    <col min="16" max="30" width="9.7109375" style="1" customWidth="1"/>
    <col min="31" max="31" width="9.7109375" style="1" bestFit="1" customWidth="1"/>
    <col min="32" max="16384" width="11.42578125" style="1"/>
  </cols>
  <sheetData>
    <row r="1" spans="1:31" s="8" customFormat="1" x14ac:dyDescent="0.3">
      <c r="A1" s="8" t="s">
        <v>22</v>
      </c>
      <c r="B1" s="8" t="s">
        <v>23</v>
      </c>
      <c r="C1" s="8" t="s">
        <v>24</v>
      </c>
      <c r="D1" s="8" t="s">
        <v>25</v>
      </c>
      <c r="E1" s="8" t="s">
        <v>26</v>
      </c>
      <c r="F1" s="8" t="s">
        <v>27</v>
      </c>
      <c r="G1" s="8" t="s">
        <v>29</v>
      </c>
      <c r="H1" s="9" t="s">
        <v>28</v>
      </c>
      <c r="I1" s="8" t="s">
        <v>37</v>
      </c>
      <c r="J1" s="3" t="s">
        <v>30</v>
      </c>
      <c r="K1" s="3" t="s">
        <v>31</v>
      </c>
      <c r="L1" s="3" t="s">
        <v>32</v>
      </c>
      <c r="M1" s="3" t="s">
        <v>33</v>
      </c>
      <c r="N1" s="8" t="s">
        <v>34</v>
      </c>
      <c r="O1" s="8" t="s">
        <v>35</v>
      </c>
      <c r="P1" s="8" t="s">
        <v>36</v>
      </c>
      <c r="Q1" s="8" t="s">
        <v>123</v>
      </c>
      <c r="R1" s="8" t="s">
        <v>124</v>
      </c>
      <c r="S1" s="8" t="s">
        <v>125</v>
      </c>
      <c r="T1" s="8" t="s">
        <v>126</v>
      </c>
      <c r="U1" s="8" t="s">
        <v>127</v>
      </c>
      <c r="V1" s="8" t="s">
        <v>128</v>
      </c>
      <c r="W1" s="8" t="s">
        <v>129</v>
      </c>
      <c r="X1" s="8" t="s">
        <v>130</v>
      </c>
      <c r="Y1" s="8" t="s">
        <v>131</v>
      </c>
      <c r="Z1" s="8" t="s">
        <v>132</v>
      </c>
      <c r="AA1" s="8" t="s">
        <v>133</v>
      </c>
      <c r="AB1" s="8" t="s">
        <v>134</v>
      </c>
      <c r="AC1" s="8" t="s">
        <v>135</v>
      </c>
      <c r="AD1" s="8" t="s">
        <v>136</v>
      </c>
      <c r="AE1" s="8" t="s">
        <v>137</v>
      </c>
    </row>
    <row r="2" spans="1:31" x14ac:dyDescent="0.3">
      <c r="A2" s="1" t="s">
        <v>20</v>
      </c>
      <c r="B2" s="1" t="s">
        <v>21</v>
      </c>
      <c r="C2" s="4">
        <v>42373</v>
      </c>
      <c r="D2" s="1" t="s">
        <v>0</v>
      </c>
      <c r="E2" s="1" t="s">
        <v>1</v>
      </c>
      <c r="F2" s="1" t="s">
        <v>2</v>
      </c>
      <c r="G2" s="4">
        <v>42979</v>
      </c>
      <c r="H2" s="5">
        <v>43708</v>
      </c>
      <c r="I2" s="1">
        <v>10000</v>
      </c>
      <c r="J2" s="3">
        <v>2500</v>
      </c>
      <c r="K2" s="3" t="s">
        <v>11</v>
      </c>
      <c r="L2" s="3" t="s">
        <v>12</v>
      </c>
      <c r="M2" s="3" t="s">
        <v>3</v>
      </c>
      <c r="N2" s="1" t="s">
        <v>141</v>
      </c>
      <c r="Q2" s="1">
        <v>1</v>
      </c>
      <c r="S2" s="1">
        <v>2500</v>
      </c>
      <c r="Z2" s="1">
        <v>2500</v>
      </c>
      <c r="AE2" s="8">
        <f>SUM(Tableau1[[#This Row],[janvier]:[n+1]])</f>
        <v>5001</v>
      </c>
    </row>
    <row r="3" spans="1:31" x14ac:dyDescent="0.3">
      <c r="A3" s="1" t="s">
        <v>38</v>
      </c>
      <c r="B3" s="1" t="s">
        <v>4</v>
      </c>
      <c r="C3" s="4">
        <v>42622</v>
      </c>
      <c r="D3" s="1" t="s">
        <v>5</v>
      </c>
      <c r="E3" s="1" t="s">
        <v>6</v>
      </c>
      <c r="F3" s="1" t="s">
        <v>2</v>
      </c>
      <c r="G3" s="4">
        <v>43017</v>
      </c>
      <c r="H3" s="5">
        <v>43343</v>
      </c>
      <c r="I3" s="6">
        <v>10000</v>
      </c>
      <c r="J3" s="7">
        <v>5000</v>
      </c>
      <c r="K3" s="3" t="s">
        <v>19</v>
      </c>
      <c r="L3" s="3" t="s">
        <v>14</v>
      </c>
      <c r="M3" s="3" t="s">
        <v>7</v>
      </c>
      <c r="N3" s="1" t="s">
        <v>8</v>
      </c>
      <c r="O3" s="1" t="s">
        <v>8</v>
      </c>
      <c r="P3" s="1" t="s">
        <v>138</v>
      </c>
      <c r="AE3" s="1">
        <f>SUM(Tableau1[[#This Row],[janvier]:[n+1]])</f>
        <v>0</v>
      </c>
    </row>
    <row r="4" spans="1:31" x14ac:dyDescent="0.3">
      <c r="A4" s="1" t="s">
        <v>15</v>
      </c>
      <c r="B4" s="1" t="s">
        <v>18</v>
      </c>
      <c r="C4" s="4">
        <v>42667</v>
      </c>
      <c r="D4" s="1" t="s">
        <v>9</v>
      </c>
      <c r="E4" s="1" t="s">
        <v>6</v>
      </c>
      <c r="F4" s="1" t="s">
        <v>10</v>
      </c>
      <c r="G4" s="4">
        <v>42744</v>
      </c>
      <c r="H4" s="5">
        <v>43343</v>
      </c>
      <c r="I4" s="6">
        <v>10000</v>
      </c>
      <c r="J4" s="7">
        <v>2500</v>
      </c>
      <c r="K4" s="3" t="s">
        <v>11</v>
      </c>
      <c r="L4" s="3" t="s">
        <v>13</v>
      </c>
      <c r="M4" s="3" t="s">
        <v>3</v>
      </c>
      <c r="N4" s="1" t="s">
        <v>8</v>
      </c>
      <c r="T4" s="1">
        <v>2000</v>
      </c>
      <c r="AE4" s="1">
        <f>SUM(Tableau1[[#This Row],[janvier]:[n+1]])</f>
        <v>2000</v>
      </c>
    </row>
    <row r="5" spans="1:31" x14ac:dyDescent="0.3">
      <c r="A5" s="1" t="s">
        <v>15</v>
      </c>
      <c r="B5" s="1" t="s">
        <v>16</v>
      </c>
      <c r="C5" s="4">
        <v>42301</v>
      </c>
      <c r="D5" s="1" t="s">
        <v>139</v>
      </c>
      <c r="E5" s="1" t="s">
        <v>17</v>
      </c>
      <c r="G5" s="4"/>
      <c r="H5" s="5"/>
      <c r="K5" s="3" t="s">
        <v>39</v>
      </c>
      <c r="L5" s="3" t="s">
        <v>14</v>
      </c>
      <c r="T5" s="1">
        <v>1000</v>
      </c>
      <c r="AE5" s="1">
        <f>SUM(Tableau1[[#This Row],[janvier]:[n+1]])</f>
        <v>1000</v>
      </c>
    </row>
    <row r="8" spans="1:31" x14ac:dyDescent="0.3">
      <c r="F8"/>
      <c r="H8" s="3"/>
      <c r="I8" s="3"/>
      <c r="L8" s="1"/>
      <c r="M8" s="1"/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7"/>
  <sheetViews>
    <sheetView workbookViewId="0">
      <selection activeCell="I26" sqref="I26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23" t="str">
        <f>VLOOKUP($B$22,Tableau1[#All],11)</f>
        <v>Etablissement2</v>
      </c>
      <c r="B1" s="123"/>
      <c r="C1" s="123"/>
      <c r="D1" s="123"/>
      <c r="E1" s="123"/>
      <c r="F1" s="123"/>
      <c r="G1" s="123"/>
    </row>
    <row r="2" spans="1:7" ht="15" customHeight="1" x14ac:dyDescent="0.2"/>
    <row r="3" spans="1:7" ht="15" customHeight="1" x14ac:dyDescent="0.2"/>
    <row r="4" spans="1:7" ht="15.75" customHeight="1" x14ac:dyDescent="0.25">
      <c r="A4" s="50"/>
      <c r="B4" s="50"/>
      <c r="C4" s="50"/>
      <c r="D4" s="50"/>
      <c r="E4" s="50"/>
      <c r="F4" s="134" t="s">
        <v>50</v>
      </c>
      <c r="G4" s="134"/>
    </row>
    <row r="5" spans="1:7" ht="15.75" customHeight="1" x14ac:dyDescent="0.25">
      <c r="A5" s="50"/>
      <c r="B5" s="50"/>
      <c r="C5" s="50"/>
      <c r="D5" s="50"/>
      <c r="E5" s="50"/>
      <c r="F5" s="134" t="str">
        <f>VLOOKUP($F$4,Tableau3[#All],2)</f>
        <v>18 chemin du soleil</v>
      </c>
      <c r="G5" s="134"/>
    </row>
    <row r="6" spans="1:7" ht="15.75" customHeight="1" x14ac:dyDescent="0.25">
      <c r="A6" s="50"/>
      <c r="B6" s="50"/>
      <c r="C6" s="50"/>
      <c r="D6" s="50"/>
      <c r="E6" s="50"/>
      <c r="F6" s="134">
        <f>VLOOKUP($F$4,Tableau3[#All],3)</f>
        <v>0</v>
      </c>
      <c r="G6" s="134"/>
    </row>
    <row r="7" spans="1:7" ht="15.75" customHeight="1" x14ac:dyDescent="0.25">
      <c r="A7" s="50"/>
      <c r="B7" s="50"/>
      <c r="C7" s="50"/>
      <c r="D7" s="50"/>
      <c r="E7" s="50"/>
      <c r="F7" s="134" t="str">
        <f>VLOOKUP($F$4,Tableau3[#All],4)</f>
        <v>06000 NICE</v>
      </c>
      <c r="G7" s="134"/>
    </row>
    <row r="8" spans="1:7" ht="15" customHeight="1" x14ac:dyDescent="0.2"/>
    <row r="9" spans="1:7" ht="15" customHeight="1" x14ac:dyDescent="0.2"/>
    <row r="10" spans="1:7" ht="15" customHeight="1" x14ac:dyDescent="0.25">
      <c r="A10" s="50"/>
      <c r="B10" s="50"/>
      <c r="C10" s="50"/>
      <c r="D10" s="50"/>
      <c r="E10" s="50"/>
      <c r="F10" s="62" t="s">
        <v>97</v>
      </c>
      <c r="G10" s="62"/>
    </row>
    <row r="11" spans="1:7" ht="15" customHeight="1" x14ac:dyDescent="0.25">
      <c r="A11" s="50"/>
      <c r="B11" s="50"/>
      <c r="C11" s="50"/>
      <c r="D11" s="50"/>
      <c r="E11" s="50"/>
      <c r="F11" s="66">
        <v>43326</v>
      </c>
      <c r="G11" s="66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35" t="s">
        <v>98</v>
      </c>
      <c r="B15" s="136"/>
      <c r="C15" s="136"/>
      <c r="D15" s="136"/>
      <c r="E15" s="63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E2/82018/</v>
      </c>
      <c r="F15" s="67">
        <v>6</v>
      </c>
      <c r="G15" s="53"/>
    </row>
    <row r="16" spans="1:7" ht="15" customHeight="1" x14ac:dyDescent="0.2">
      <c r="A16" s="127" t="s">
        <v>99</v>
      </c>
      <c r="B16" s="128"/>
      <c r="C16" s="128"/>
      <c r="D16" s="128"/>
      <c r="E16" s="128"/>
      <c r="F16" s="129"/>
      <c r="G16" s="52" t="s">
        <v>100</v>
      </c>
    </row>
    <row r="17" spans="1:7" ht="15" customHeight="1" x14ac:dyDescent="0.2">
      <c r="A17" s="130" t="str">
        <f>VLOOKUP($B$22,Tableau1[#All],5)</f>
        <v>COMMANDE N° 20</v>
      </c>
      <c r="B17" s="131"/>
      <c r="C17" s="131" t="str">
        <f>VLOOKUP($F$4,Tableau3[#All],2)</f>
        <v>18 chemin du soleil</v>
      </c>
      <c r="D17" s="131"/>
      <c r="E17" s="131" t="str">
        <f>VLOOKUP($F$4,Tableau3[#All],2)</f>
        <v>18 chemin du soleil</v>
      </c>
      <c r="F17" s="132"/>
      <c r="G17" s="69"/>
    </row>
    <row r="18" spans="1:7" ht="15" customHeight="1" x14ac:dyDescent="0.2">
      <c r="A18" s="115" t="str">
        <f>VLOOKUP($B$22,Tableau1[#All],6)</f>
        <v>RESERVATION D'UN BERCEAU DU 01/09/2017 AU 31/08/2019</v>
      </c>
      <c r="B18" s="116"/>
      <c r="C18" s="116" t="str">
        <f>VLOOKUP($F$4,Tableau3[#All],2)</f>
        <v>18 chemin du soleil</v>
      </c>
      <c r="D18" s="116"/>
      <c r="E18" s="116" t="str">
        <f>VLOOKUP($F$4,Tableau3[#All],2)</f>
        <v>18 chemin du soleil</v>
      </c>
      <c r="F18" s="133"/>
      <c r="G18" s="69"/>
    </row>
    <row r="19" spans="1:7" ht="15" customHeight="1" x14ac:dyDescent="0.25">
      <c r="A19" s="124"/>
      <c r="B19" s="125"/>
      <c r="C19" s="125"/>
      <c r="D19" s="125"/>
      <c r="E19" s="125"/>
      <c r="F19" s="126"/>
      <c r="G19" s="69"/>
    </row>
    <row r="20" spans="1:7" ht="15" customHeight="1" x14ac:dyDescent="0.25">
      <c r="A20" s="59" t="s">
        <v>101</v>
      </c>
      <c r="B20" s="51"/>
      <c r="C20" s="60"/>
      <c r="D20" s="68">
        <f>VLOOKUP($B$22,Tableau1[#All],9)</f>
        <v>10000</v>
      </c>
      <c r="E20" s="51"/>
      <c r="F20" s="55"/>
      <c r="G20" s="69"/>
    </row>
    <row r="21" spans="1:7" ht="15" customHeight="1" x14ac:dyDescent="0.25">
      <c r="A21" s="115"/>
      <c r="B21" s="116"/>
      <c r="C21" s="116"/>
      <c r="D21" s="51"/>
      <c r="E21" s="51"/>
      <c r="F21" s="55"/>
      <c r="G21" s="69"/>
    </row>
    <row r="22" spans="1:7" ht="15" customHeight="1" x14ac:dyDescent="0.25">
      <c r="A22" s="59" t="s">
        <v>102</v>
      </c>
      <c r="B22" s="113" t="s">
        <v>45</v>
      </c>
      <c r="C22" s="113"/>
      <c r="D22" s="51"/>
      <c r="E22" s="51"/>
      <c r="F22" s="55"/>
      <c r="G22" s="69"/>
    </row>
    <row r="23" spans="1:7" ht="15" customHeight="1" x14ac:dyDescent="0.25">
      <c r="A23" s="59" t="s">
        <v>48</v>
      </c>
      <c r="B23" s="51"/>
      <c r="C23" s="51"/>
      <c r="D23" s="51"/>
      <c r="E23" s="51"/>
      <c r="F23" s="55"/>
      <c r="G23" s="69"/>
    </row>
    <row r="24" spans="1:7" ht="15" customHeight="1" x14ac:dyDescent="0.25">
      <c r="A24" s="59" t="s">
        <v>103</v>
      </c>
      <c r="B24" s="113" t="str">
        <f>VLOOKUP($B$22,Tableau1[#All],2)</f>
        <v>ECOLE COLINE</v>
      </c>
      <c r="C24" s="113">
        <f>VLOOKUP($B$22,Tableau1[#All],9)</f>
        <v>10000</v>
      </c>
      <c r="D24" s="113">
        <f>VLOOKUP($B$22,Tableau1[#All],9)</f>
        <v>10000</v>
      </c>
      <c r="E24" s="113">
        <f>VLOOKUP($B$22,Tableau1[#All],9)</f>
        <v>10000</v>
      </c>
      <c r="F24" s="114">
        <f>VLOOKUP($B$22,Tableau1[#All],9)</f>
        <v>10000</v>
      </c>
      <c r="G24" s="69"/>
    </row>
    <row r="25" spans="1:7" ht="15" customHeight="1" x14ac:dyDescent="0.25">
      <c r="A25" s="54"/>
      <c r="B25" s="51"/>
      <c r="C25" s="51"/>
      <c r="D25" s="51"/>
      <c r="E25" s="51"/>
      <c r="F25" s="55"/>
      <c r="G25" s="69"/>
    </row>
    <row r="26" spans="1:7" ht="15" customHeight="1" x14ac:dyDescent="0.25">
      <c r="A26" s="54"/>
      <c r="B26" s="51"/>
      <c r="C26" s="51"/>
      <c r="D26" s="51"/>
      <c r="E26" s="51"/>
      <c r="F26" s="55"/>
      <c r="G26" s="69"/>
    </row>
    <row r="27" spans="1:7" ht="15" customHeight="1" x14ac:dyDescent="0.25">
      <c r="A27" s="54"/>
      <c r="B27" s="51"/>
      <c r="C27" s="51"/>
      <c r="D27" s="51"/>
      <c r="E27" s="51"/>
      <c r="F27" s="55"/>
      <c r="G27" s="69"/>
    </row>
    <row r="28" spans="1:7" ht="15" customHeight="1" x14ac:dyDescent="0.2">
      <c r="A28" s="117" t="s">
        <v>104</v>
      </c>
      <c r="B28" s="118"/>
      <c r="C28" s="118"/>
      <c r="D28" s="118"/>
      <c r="E28" s="118"/>
      <c r="F28" s="119"/>
      <c r="G28" s="69"/>
    </row>
    <row r="29" spans="1:7" ht="15" customHeight="1" x14ac:dyDescent="0.2">
      <c r="A29" s="120" t="s">
        <v>48</v>
      </c>
      <c r="B29" s="121"/>
      <c r="C29" s="121"/>
      <c r="D29" s="121"/>
      <c r="E29" s="121"/>
      <c r="F29" s="122"/>
      <c r="G29" s="69" t="s">
        <v>47</v>
      </c>
    </row>
    <row r="30" spans="1:7" ht="15" customHeight="1" x14ac:dyDescent="0.2">
      <c r="A30" s="112"/>
      <c r="B30" s="113"/>
      <c r="C30" s="113"/>
      <c r="D30" s="113"/>
      <c r="E30" s="113"/>
      <c r="F30" s="114"/>
      <c r="G30" s="69"/>
    </row>
    <row r="31" spans="1:7" ht="15" customHeight="1" x14ac:dyDescent="0.25">
      <c r="A31" s="54"/>
      <c r="B31" s="51"/>
      <c r="C31" s="51"/>
      <c r="D31" s="51"/>
      <c r="E31" s="51"/>
      <c r="F31" s="55"/>
      <c r="G31" s="69"/>
    </row>
    <row r="32" spans="1:7" ht="15" customHeight="1" x14ac:dyDescent="0.25">
      <c r="A32" s="54"/>
      <c r="B32" s="51"/>
      <c r="C32" s="51"/>
      <c r="D32" s="51"/>
      <c r="E32" s="51"/>
      <c r="F32" s="55"/>
      <c r="G32" s="69"/>
    </row>
    <row r="33" spans="1:7" ht="15" customHeight="1" x14ac:dyDescent="0.25">
      <c r="A33" s="54" t="s">
        <v>48</v>
      </c>
      <c r="B33" s="51"/>
      <c r="C33" s="51"/>
      <c r="D33" s="51"/>
      <c r="E33" s="51"/>
      <c r="F33" s="55"/>
      <c r="G33" s="69" t="s">
        <v>48</v>
      </c>
    </row>
    <row r="34" spans="1:7" ht="15" customHeight="1" x14ac:dyDescent="0.25">
      <c r="A34" s="54"/>
      <c r="B34" s="51"/>
      <c r="C34" s="51"/>
      <c r="D34" s="51"/>
      <c r="E34" s="51"/>
      <c r="F34" s="55"/>
      <c r="G34" s="69"/>
    </row>
    <row r="35" spans="1:7" ht="15" customHeight="1" x14ac:dyDescent="0.25">
      <c r="A35" s="54"/>
      <c r="B35" s="51"/>
      <c r="C35" s="51"/>
      <c r="D35" s="51"/>
      <c r="E35" s="51"/>
      <c r="F35" s="55"/>
      <c r="G35" s="69"/>
    </row>
    <row r="36" spans="1:7" ht="15" customHeight="1" x14ac:dyDescent="0.25">
      <c r="A36" s="54"/>
      <c r="B36" s="51"/>
      <c r="C36" s="51"/>
      <c r="D36" s="51"/>
      <c r="E36" s="51"/>
      <c r="F36" s="55"/>
      <c r="G36" s="69"/>
    </row>
    <row r="37" spans="1:7" ht="15" customHeight="1" x14ac:dyDescent="0.25">
      <c r="A37" s="54"/>
      <c r="B37" s="51"/>
      <c r="C37" s="51"/>
      <c r="D37" s="51"/>
      <c r="E37" s="51"/>
      <c r="F37" s="55"/>
      <c r="G37" s="69"/>
    </row>
    <row r="38" spans="1:7" ht="15" customHeight="1" x14ac:dyDescent="0.25">
      <c r="A38" s="54"/>
      <c r="B38" s="51"/>
      <c r="C38" s="51"/>
      <c r="D38" s="51"/>
      <c r="E38" s="51"/>
      <c r="F38" s="55"/>
      <c r="G38" s="69"/>
    </row>
    <row r="39" spans="1:7" ht="15" customHeight="1" x14ac:dyDescent="0.25">
      <c r="A39" s="54"/>
      <c r="B39" s="51"/>
      <c r="C39" s="51"/>
      <c r="D39" s="51"/>
      <c r="E39" s="51"/>
      <c r="F39" s="55"/>
      <c r="G39" s="69"/>
    </row>
    <row r="40" spans="1:7" ht="15" customHeight="1" x14ac:dyDescent="0.25">
      <c r="A40" s="54"/>
      <c r="B40" s="51"/>
      <c r="C40" s="51"/>
      <c r="D40" s="51"/>
      <c r="E40" s="51"/>
      <c r="F40" s="55"/>
      <c r="G40" s="69"/>
    </row>
    <row r="41" spans="1:7" ht="15" customHeight="1" x14ac:dyDescent="0.25">
      <c r="A41" s="54"/>
      <c r="B41" s="51"/>
      <c r="C41" s="51"/>
      <c r="D41" s="51"/>
      <c r="E41" s="51"/>
      <c r="F41" s="55"/>
      <c r="G41" s="69"/>
    </row>
    <row r="42" spans="1:7" ht="15.75" customHeight="1" thickBot="1" x14ac:dyDescent="0.3">
      <c r="A42" s="56"/>
      <c r="B42" s="57"/>
      <c r="C42" s="57"/>
      <c r="D42" s="57"/>
      <c r="E42" s="57"/>
      <c r="F42" s="58"/>
      <c r="G42" s="70"/>
    </row>
    <row r="43" spans="1:7" ht="16.5" customHeight="1" thickTop="1" thickBot="1" x14ac:dyDescent="0.25">
      <c r="A43" s="108" t="s">
        <v>105</v>
      </c>
      <c r="B43" s="109"/>
      <c r="C43" s="109"/>
      <c r="D43" s="109"/>
      <c r="E43" s="109"/>
      <c r="F43" s="110"/>
      <c r="G43" s="61">
        <f>SUM(G28:G42)</f>
        <v>0</v>
      </c>
    </row>
    <row r="44" spans="1:7" ht="15.75" customHeight="1" thickTop="1" x14ac:dyDescent="0.2">
      <c r="A44" s="111" t="s">
        <v>106</v>
      </c>
      <c r="B44" s="111"/>
      <c r="C44" s="111"/>
      <c r="D44" s="111"/>
      <c r="E44" s="111"/>
      <c r="F44" s="111"/>
      <c r="G44" s="111"/>
    </row>
    <row r="45" spans="1:7" ht="15" customHeight="1" x14ac:dyDescent="0.2"/>
    <row r="46" spans="1:7" ht="15" customHeight="1" x14ac:dyDescent="0.25">
      <c r="A46" s="102" t="s">
        <v>107</v>
      </c>
      <c r="B46" s="103"/>
      <c r="C46" s="65">
        <f>VLOOKUP($F$4,Tableau3[#All],6)</f>
        <v>45</v>
      </c>
      <c r="D46" s="64" t="str">
        <f>IF(C46&gt;0,"jours","")</f>
        <v>jours</v>
      </c>
      <c r="E46" s="50"/>
      <c r="F46" s="50"/>
      <c r="G46" s="50"/>
    </row>
    <row r="47" spans="1:7" ht="15" customHeight="1" x14ac:dyDescent="0.25">
      <c r="A47" s="104" t="s">
        <v>108</v>
      </c>
      <c r="B47" s="105"/>
      <c r="C47" s="106">
        <f>IF(C46="à réception","",F11+C46)</f>
        <v>43371</v>
      </c>
      <c r="D47" s="107"/>
      <c r="E47" s="50"/>
      <c r="F47" s="50"/>
      <c r="G47" s="50"/>
    </row>
  </sheetData>
  <mergeCells count="21"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F6:G6">
    <cfRule type="expression" dxfId="23" priority="1">
      <formula>$F$6=0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topLeftCell="D1" workbookViewId="0">
      <selection activeCell="J26" sqref="J26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44" t="s">
        <v>51</v>
      </c>
      <c r="B1" s="45" t="s">
        <v>52</v>
      </c>
      <c r="C1" s="45" t="s">
        <v>53</v>
      </c>
      <c r="D1" s="45" t="s">
        <v>54</v>
      </c>
      <c r="E1" s="46" t="s">
        <v>96</v>
      </c>
      <c r="F1" s="47" t="s">
        <v>55</v>
      </c>
      <c r="G1" s="48" t="s">
        <v>56</v>
      </c>
      <c r="H1" s="45" t="s">
        <v>57</v>
      </c>
      <c r="I1" s="45" t="s">
        <v>58</v>
      </c>
      <c r="J1" s="45" t="s">
        <v>59</v>
      </c>
      <c r="K1" s="45" t="s">
        <v>60</v>
      </c>
      <c r="L1" s="45" t="s">
        <v>61</v>
      </c>
      <c r="M1" s="45" t="s">
        <v>62</v>
      </c>
      <c r="N1" s="49" t="s">
        <v>63</v>
      </c>
    </row>
    <row r="2" spans="1:14" ht="15" x14ac:dyDescent="0.25">
      <c r="A2" s="35" t="s">
        <v>49</v>
      </c>
      <c r="B2" s="25" t="s">
        <v>64</v>
      </c>
      <c r="C2" s="25" t="s">
        <v>65</v>
      </c>
      <c r="D2" s="25" t="s">
        <v>66</v>
      </c>
      <c r="E2" s="27" t="s">
        <v>67</v>
      </c>
      <c r="F2" s="31" t="s">
        <v>68</v>
      </c>
      <c r="G2" s="32"/>
      <c r="H2" s="25"/>
      <c r="I2" s="25"/>
      <c r="J2" s="25"/>
      <c r="K2" s="25"/>
      <c r="L2" s="25"/>
      <c r="M2" s="25"/>
      <c r="N2" s="36"/>
    </row>
    <row r="3" spans="1:14" ht="15" x14ac:dyDescent="0.25">
      <c r="A3" s="21" t="s">
        <v>46</v>
      </c>
      <c r="B3" s="17" t="s">
        <v>69</v>
      </c>
      <c r="C3" s="17"/>
      <c r="D3" s="17" t="s">
        <v>70</v>
      </c>
      <c r="E3" s="28" t="s">
        <v>3</v>
      </c>
      <c r="F3" s="22">
        <v>60</v>
      </c>
      <c r="G3" s="21" t="s">
        <v>71</v>
      </c>
      <c r="H3" s="17"/>
      <c r="I3" s="17"/>
      <c r="J3" s="17"/>
      <c r="K3" s="17"/>
      <c r="L3" s="17"/>
      <c r="M3" s="17"/>
      <c r="N3" s="37"/>
    </row>
    <row r="4" spans="1:14" ht="15" x14ac:dyDescent="0.25">
      <c r="A4" s="19" t="s">
        <v>72</v>
      </c>
      <c r="B4" s="20" t="s">
        <v>73</v>
      </c>
      <c r="C4" s="20" t="s">
        <v>74</v>
      </c>
      <c r="D4" s="20" t="s">
        <v>75</v>
      </c>
      <c r="E4" s="29" t="s">
        <v>76</v>
      </c>
      <c r="F4" s="33" t="s">
        <v>68</v>
      </c>
      <c r="G4" s="34"/>
      <c r="H4" s="20"/>
      <c r="I4" s="20"/>
      <c r="J4" s="20"/>
      <c r="K4" s="20"/>
      <c r="L4" s="20"/>
      <c r="M4" s="20"/>
      <c r="N4" s="18"/>
    </row>
    <row r="5" spans="1:14" ht="15" x14ac:dyDescent="0.25">
      <c r="A5" s="21" t="s">
        <v>50</v>
      </c>
      <c r="B5" s="17" t="s">
        <v>77</v>
      </c>
      <c r="C5" s="17"/>
      <c r="D5" s="17" t="s">
        <v>78</v>
      </c>
      <c r="E5" s="28" t="s">
        <v>3</v>
      </c>
      <c r="F5" s="22">
        <v>45</v>
      </c>
      <c r="G5" s="21" t="s">
        <v>71</v>
      </c>
      <c r="H5" s="17"/>
      <c r="I5" s="17"/>
      <c r="J5" s="17"/>
      <c r="K5" s="17"/>
      <c r="L5" s="17"/>
      <c r="M5" s="17"/>
      <c r="N5" s="37"/>
    </row>
    <row r="6" spans="1:14" ht="15" x14ac:dyDescent="0.25">
      <c r="A6" s="21" t="s">
        <v>79</v>
      </c>
      <c r="B6" s="17" t="s">
        <v>80</v>
      </c>
      <c r="C6" s="17"/>
      <c r="D6" s="17" t="s">
        <v>81</v>
      </c>
      <c r="E6" s="28" t="s">
        <v>3</v>
      </c>
      <c r="F6" s="22">
        <v>45</v>
      </c>
      <c r="G6" s="21" t="s">
        <v>71</v>
      </c>
      <c r="H6" s="17"/>
      <c r="I6" s="17"/>
      <c r="J6" s="17"/>
      <c r="K6" s="17"/>
      <c r="L6" s="17"/>
      <c r="M6" s="17"/>
      <c r="N6" s="37"/>
    </row>
    <row r="7" spans="1:14" ht="15" x14ac:dyDescent="0.25">
      <c r="A7" s="24" t="s">
        <v>82</v>
      </c>
      <c r="B7" s="17" t="s">
        <v>83</v>
      </c>
      <c r="C7" s="17"/>
      <c r="D7" s="17" t="s">
        <v>84</v>
      </c>
      <c r="E7" s="28" t="s">
        <v>85</v>
      </c>
      <c r="F7" s="22">
        <v>30</v>
      </c>
      <c r="G7" s="21" t="s">
        <v>71</v>
      </c>
      <c r="H7" s="17"/>
      <c r="I7" s="17"/>
      <c r="J7" s="17"/>
      <c r="K7" s="17"/>
      <c r="L7" s="17"/>
      <c r="M7" s="17"/>
      <c r="N7" s="37"/>
    </row>
    <row r="8" spans="1:14" ht="15" x14ac:dyDescent="0.25">
      <c r="A8" s="19" t="s">
        <v>86</v>
      </c>
      <c r="B8" s="20" t="s">
        <v>87</v>
      </c>
      <c r="C8" s="20"/>
      <c r="D8" s="20" t="s">
        <v>88</v>
      </c>
      <c r="E8" s="30" t="s">
        <v>7</v>
      </c>
      <c r="F8" s="23">
        <v>30</v>
      </c>
      <c r="G8" s="24" t="s">
        <v>71</v>
      </c>
      <c r="H8" s="26"/>
      <c r="I8" s="26"/>
      <c r="J8" s="26"/>
      <c r="K8" s="26"/>
      <c r="L8" s="26"/>
      <c r="M8" s="26"/>
      <c r="N8" s="38"/>
    </row>
    <row r="9" spans="1:14" ht="15" x14ac:dyDescent="0.25">
      <c r="A9" s="40" t="s">
        <v>89</v>
      </c>
      <c r="B9" s="41" t="s">
        <v>90</v>
      </c>
      <c r="C9" s="41" t="s">
        <v>91</v>
      </c>
      <c r="D9" s="41" t="s">
        <v>92</v>
      </c>
      <c r="E9" s="39" t="s">
        <v>85</v>
      </c>
      <c r="F9" s="42">
        <v>30</v>
      </c>
      <c r="G9" s="40" t="s">
        <v>71</v>
      </c>
      <c r="H9" s="41" t="s">
        <v>93</v>
      </c>
      <c r="I9" s="41" t="s">
        <v>94</v>
      </c>
      <c r="J9" s="41" t="s">
        <v>95</v>
      </c>
      <c r="K9" s="41" t="s">
        <v>95</v>
      </c>
      <c r="L9" s="41" t="s">
        <v>8</v>
      </c>
      <c r="M9" s="41" t="s">
        <v>8</v>
      </c>
      <c r="N9" s="43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1"/>
  <sheetViews>
    <sheetView workbookViewId="0">
      <selection activeCell="L16" sqref="L16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85" t="s">
        <v>109</v>
      </c>
      <c r="B1" s="86">
        <f ca="1">Accueil!A1</f>
        <v>43332</v>
      </c>
    </row>
    <row r="2" spans="1:16" ht="15.75" x14ac:dyDescent="0.2">
      <c r="A2" s="87" t="s">
        <v>110</v>
      </c>
      <c r="B2" s="78"/>
      <c r="C2" s="78"/>
      <c r="D2" s="78"/>
      <c r="E2" s="78"/>
      <c r="F2" s="78"/>
      <c r="G2" s="87"/>
      <c r="H2" s="87"/>
      <c r="I2" s="87"/>
      <c r="J2" s="87"/>
      <c r="K2" s="78"/>
      <c r="L2" s="78"/>
      <c r="M2" s="78"/>
      <c r="N2" s="78"/>
      <c r="O2" s="78"/>
      <c r="P2" s="78"/>
    </row>
    <row r="4" spans="1:16" ht="15" x14ac:dyDescent="0.25">
      <c r="A4" s="91" t="s">
        <v>111</v>
      </c>
      <c r="B4" s="137" t="s">
        <v>112</v>
      </c>
      <c r="C4" s="137"/>
      <c r="D4" s="92" t="s">
        <v>113</v>
      </c>
      <c r="E4" s="92" t="s">
        <v>114</v>
      </c>
      <c r="F4" s="92" t="s">
        <v>40</v>
      </c>
      <c r="G4" s="92" t="s">
        <v>115</v>
      </c>
      <c r="H4" s="92" t="s">
        <v>41</v>
      </c>
      <c r="I4" s="92" t="s">
        <v>42</v>
      </c>
      <c r="J4" s="92" t="s">
        <v>116</v>
      </c>
      <c r="K4" s="92" t="s">
        <v>43</v>
      </c>
      <c r="L4" s="92" t="s">
        <v>117</v>
      </c>
      <c r="M4" s="92" t="s">
        <v>118</v>
      </c>
      <c r="N4" s="92" t="s">
        <v>119</v>
      </c>
      <c r="O4" s="92" t="s">
        <v>120</v>
      </c>
      <c r="P4" s="92" t="s">
        <v>44</v>
      </c>
    </row>
    <row r="5" spans="1:16" ht="15" x14ac:dyDescent="0.2">
      <c r="A5" s="88" t="s">
        <v>49</v>
      </c>
      <c r="B5" s="89" t="s">
        <v>68</v>
      </c>
      <c r="C5" s="89">
        <v>0</v>
      </c>
      <c r="D5" s="90">
        <f>SUMIFS(Tableau1[janvier],Tableau1[Prestataire],"Prestataire1")</f>
        <v>0</v>
      </c>
      <c r="E5" s="90">
        <f>SUMIFS(Tableau1[fevrier],Tableau1[Prestataire],"Prestataire1")</f>
        <v>0</v>
      </c>
      <c r="F5" s="90">
        <f>SUMIFS(Tableau1[mars],Tableau1[Prestataire],"Prestataire1")</f>
        <v>0</v>
      </c>
      <c r="G5" s="90">
        <f>SUMIFS(Tableau1[avril],Tableau1[Prestataire],"Prestataire1")</f>
        <v>1000</v>
      </c>
      <c r="H5" s="90">
        <f>SUMIFS(Tableau1[mai],Tableau1[Prestataire],"Prestataire1")</f>
        <v>0</v>
      </c>
      <c r="I5" s="90">
        <f>SUMIFS(Tableau1[juin],Tableau1[Prestataire],"Prestataire1")</f>
        <v>0</v>
      </c>
      <c r="J5" s="90">
        <f>SUMIFS(Tableau1[juillet],Tableau1[Prestataire],"Prestataire1")</f>
        <v>0</v>
      </c>
      <c r="K5" s="90">
        <f>SUMIFS(Tableau1[aout],Tableau1[Prestataire],"Prestataire1")</f>
        <v>0</v>
      </c>
      <c r="L5" s="90">
        <f>SUMIFS(Tableau1[septembre],Tableau1[Prestataire],"Prestataire1")</f>
        <v>0</v>
      </c>
      <c r="M5" s="90">
        <f>SUMIFS(Tableau1[octobre],Tableau1[Prestataire],"Prestataire1")</f>
        <v>0</v>
      </c>
      <c r="N5" s="90">
        <f>SUMIFS(Tableau1[novembre],Tableau1[Prestataire],"Prestataire1")</f>
        <v>0</v>
      </c>
      <c r="O5" s="90">
        <f>SUMIFS(Tableau1[decembre],Tableau1[Prestataire],"Prestataire1")</f>
        <v>0</v>
      </c>
      <c r="P5" s="97">
        <f>SUM(D5:O5)</f>
        <v>1000</v>
      </c>
    </row>
    <row r="6" spans="1:16" ht="15" x14ac:dyDescent="0.2">
      <c r="A6" s="81" t="s">
        <v>46</v>
      </c>
      <c r="B6" s="81">
        <v>60</v>
      </c>
      <c r="C6" s="81" t="s">
        <v>71</v>
      </c>
      <c r="D6" s="82">
        <f>SUMIFS(Tableau1[janvier],Tableau1[Prestataire],"Prestataire2")</f>
        <v>1</v>
      </c>
      <c r="E6" s="82">
        <f>SUMIFS(Tableau1[fevrier],Tableau1[Prestataire],"Prestataire2")</f>
        <v>0</v>
      </c>
      <c r="F6" s="82">
        <f>SUMIFS(Tableau1[mars],Tableau1[Prestataire],"Prestataire2")</f>
        <v>2500</v>
      </c>
      <c r="G6" s="82">
        <f>SUMIFS(Tableau1[avril],Tableau1[Prestataire],"Prestataire2")</f>
        <v>0</v>
      </c>
      <c r="H6" s="82">
        <f>SUMIFS(Tableau1[mai],Tableau1[Prestataire],"Prestataire2")</f>
        <v>0</v>
      </c>
      <c r="I6" s="82">
        <f>SUMIFS(Tableau1[juin],Tableau1[Prestataire],"Prestataire2")</f>
        <v>0</v>
      </c>
      <c r="J6" s="82">
        <f>SUMIFS(Tableau1[juillet],Tableau1[Prestataire],"Prestataire2")</f>
        <v>0</v>
      </c>
      <c r="K6" s="82">
        <f>SUMIFS(Tableau1[aout],Tableau1[Prestataire],"Prestataire2")</f>
        <v>0</v>
      </c>
      <c r="L6" s="82">
        <f>SUMIFS(Tableau1[septembre],Tableau1[Prestataire],"Prestataire2")</f>
        <v>0</v>
      </c>
      <c r="M6" s="82">
        <f>SUMIFS(Tableau1[octobre],Tableau1[Prestataire],"Prestataire2")</f>
        <v>2500</v>
      </c>
      <c r="N6" s="82">
        <f>SUMIFS(Tableau1[novembre],Tableau1[Prestataire],"Prestataire2")</f>
        <v>0</v>
      </c>
      <c r="O6" s="82">
        <f>SUMIFS(Tableau1[decembre],Tableau1[Prestataire],"Prestataire2")</f>
        <v>0</v>
      </c>
      <c r="P6" s="98">
        <f t="shared" ref="P6:P12" si="0">SUM(D6:O6)</f>
        <v>5001</v>
      </c>
    </row>
    <row r="7" spans="1:16" ht="15" x14ac:dyDescent="0.2">
      <c r="A7" s="81" t="s">
        <v>72</v>
      </c>
      <c r="B7" s="81" t="s">
        <v>68</v>
      </c>
      <c r="C7" s="81">
        <v>0</v>
      </c>
      <c r="D7" s="82">
        <f>SUMIFS(Tableau1[janvier],Tableau1[Prestataire],"Prestataire3")</f>
        <v>0</v>
      </c>
      <c r="E7" s="82">
        <f>SUMIFS(Tableau1[fevrier],Tableau1[Prestataire],"Prestataire3")</f>
        <v>0</v>
      </c>
      <c r="F7" s="82">
        <f>SUMIFS(Tableau1[mars],Tableau1[Prestataire],"Prestataire3")</f>
        <v>0</v>
      </c>
      <c r="G7" s="82">
        <f>SUMIFS(Tableau1[avril],Tableau1[Prestataire],"Prestataire3")</f>
        <v>0</v>
      </c>
      <c r="H7" s="82">
        <f>SUMIFS(Tableau1[mai],Tableau1[Prestataire],"Prestataire3")</f>
        <v>0</v>
      </c>
      <c r="I7" s="82">
        <f>SUMIFS(Tableau1[juin],Tableau1[Prestataire],"Prestataire3")</f>
        <v>0</v>
      </c>
      <c r="J7" s="82">
        <f>SUMIFS(Tableau1[juillet],Tableau1[Prestataire],"Prestataire3")</f>
        <v>0</v>
      </c>
      <c r="K7" s="82">
        <f>SUMIFS(Tableau1[aout],Tableau1[Prestataire],"Prestataire3")</f>
        <v>0</v>
      </c>
      <c r="L7" s="82">
        <f>SUMIFS(Tableau1[septembre],Tableau1[Prestataire],"Prestataire3")</f>
        <v>0</v>
      </c>
      <c r="M7" s="82">
        <f>SUMIFS(Tableau1[octobre],Tableau1[Prestataire],"Prestataire3")</f>
        <v>0</v>
      </c>
      <c r="N7" s="82">
        <f>SUMIFS(Tableau1[novembre],Tableau1[Prestataire],"Prestataire3")</f>
        <v>0</v>
      </c>
      <c r="O7" s="82">
        <f>SUMIFS(Tableau1[decembre],Tableau1[Prestataire],"Prestataire3")</f>
        <v>0</v>
      </c>
      <c r="P7" s="98">
        <f t="shared" si="0"/>
        <v>0</v>
      </c>
    </row>
    <row r="8" spans="1:16" ht="15" x14ac:dyDescent="0.2">
      <c r="A8" s="81" t="s">
        <v>50</v>
      </c>
      <c r="B8" s="81">
        <v>45</v>
      </c>
      <c r="C8" s="81" t="s">
        <v>71</v>
      </c>
      <c r="D8" s="82">
        <f>SUMIFS(Tableau1[janvier],Tableau1[Prestataire],"Prestataire4")</f>
        <v>0</v>
      </c>
      <c r="E8" s="82">
        <f>SUMIFS(Tableau1[fevrier],Tableau1[Prestataire],"Prestataire4")</f>
        <v>0</v>
      </c>
      <c r="F8" s="82">
        <f>SUMIFS(Tableau1[mars],Tableau1[Prestataire],"Prestataire4")</f>
        <v>0</v>
      </c>
      <c r="G8" s="82">
        <f>SUMIFS(Tableau1[avril],Tableau1[Prestataire],"Prestataire4")</f>
        <v>2000</v>
      </c>
      <c r="H8" s="82">
        <f>SUMIFS(Tableau1[mai],Tableau1[Prestataire],"Prestataire4")</f>
        <v>0</v>
      </c>
      <c r="I8" s="82">
        <f>SUMIFS(Tableau1[juin],Tableau1[Prestataire],"Prestataire4")</f>
        <v>0</v>
      </c>
      <c r="J8" s="82">
        <f>SUMIFS(Tableau1[juillet],Tableau1[Prestataire],"Prestataire4")</f>
        <v>0</v>
      </c>
      <c r="K8" s="82">
        <f>SUMIFS(Tableau1[aout],Tableau1[Prestataire],"Prestataire4")</f>
        <v>0</v>
      </c>
      <c r="L8" s="82">
        <f>SUMIFS(Tableau1[septembre],Tableau1[Prestataire],"Prestataire4")</f>
        <v>0</v>
      </c>
      <c r="M8" s="82">
        <f>SUMIFS(Tableau1[octobre],Tableau1[Prestataire],"Prestataire4")</f>
        <v>0</v>
      </c>
      <c r="N8" s="82">
        <f>SUMIFS(Tableau1[novembre],Tableau1[Prestataire],"Prestataire4")</f>
        <v>0</v>
      </c>
      <c r="O8" s="82">
        <f>SUMIFS(Tableau1[decembre],Tableau1[Prestataire],"Prestataire4")</f>
        <v>0</v>
      </c>
      <c r="P8" s="98">
        <f t="shared" si="0"/>
        <v>2000</v>
      </c>
    </row>
    <row r="9" spans="1:16" ht="15" x14ac:dyDescent="0.2">
      <c r="A9" s="81" t="s">
        <v>79</v>
      </c>
      <c r="B9" s="81">
        <v>45</v>
      </c>
      <c r="C9" s="81" t="s">
        <v>71</v>
      </c>
      <c r="D9" s="82">
        <f>SUMIFS(Tableau1[janvier],Tableau1[Prestataire],"Prestataire5")</f>
        <v>0</v>
      </c>
      <c r="E9" s="82">
        <f>SUMIFS(Tableau1[fevrier],Tableau1[Prestataire],"Prestataire5")</f>
        <v>0</v>
      </c>
      <c r="F9" s="82">
        <f>SUMIFS(Tableau1[mars],Tableau1[Prestataire],"Prestataire5")</f>
        <v>0</v>
      </c>
      <c r="G9" s="82">
        <f>SUMIFS(Tableau1[avril],Tableau1[Prestataire],"Prestataire5")</f>
        <v>0</v>
      </c>
      <c r="H9" s="82">
        <f>SUMIFS(Tableau1[mai],Tableau1[Prestataire],"Prestataire5")</f>
        <v>0</v>
      </c>
      <c r="I9" s="82">
        <f>SUMIFS(Tableau1[juin],Tableau1[Prestataire],"Prestataire5")</f>
        <v>0</v>
      </c>
      <c r="J9" s="82">
        <f>SUMIFS(Tableau1[juillet],Tableau1[Prestataire],"Prestataire5")</f>
        <v>0</v>
      </c>
      <c r="K9" s="82">
        <f>SUMIFS(Tableau1[aout],Tableau1[Prestataire],"Prestataire5")</f>
        <v>0</v>
      </c>
      <c r="L9" s="82">
        <f>SUMIFS(Tableau1[septembre],Tableau1[Prestataire],"Prestataire5")</f>
        <v>0</v>
      </c>
      <c r="M9" s="82">
        <f>SUMIFS(Tableau1[octobre],Tableau1[Prestataire],"Prestataire5")</f>
        <v>0</v>
      </c>
      <c r="N9" s="82">
        <f>SUMIFS(Tableau1[novembre],Tableau1[Prestataire],"Prestataire5")</f>
        <v>0</v>
      </c>
      <c r="O9" s="82">
        <f>SUMIFS(Tableau1[decembre],Tableau1[Prestataire],"Prestataire5")</f>
        <v>0</v>
      </c>
      <c r="P9" s="98">
        <f t="shared" si="0"/>
        <v>0</v>
      </c>
    </row>
    <row r="10" spans="1:16" ht="15" x14ac:dyDescent="0.2">
      <c r="A10" s="81" t="s">
        <v>82</v>
      </c>
      <c r="B10" s="81">
        <v>30</v>
      </c>
      <c r="C10" s="81" t="s">
        <v>71</v>
      </c>
      <c r="D10" s="82">
        <f>SUMIFS(Tableau1[janvier],Tableau1[Prestataire],"Prestataire6")</f>
        <v>0</v>
      </c>
      <c r="E10" s="82">
        <f>SUMIFS(Tableau1[fevrier],Tableau1[Prestataire],"Prestataire6")</f>
        <v>0</v>
      </c>
      <c r="F10" s="82">
        <f>SUMIFS(Tableau1[mars],Tableau1[Prestataire],"Prestataire6")</f>
        <v>0</v>
      </c>
      <c r="G10" s="82">
        <f>SUMIFS(Tableau1[avril],Tableau1[Prestataire],"Prestataire6")</f>
        <v>0</v>
      </c>
      <c r="H10" s="82">
        <f>SUMIFS(Tableau1[mai],Tableau1[Prestataire],"Prestataire6")</f>
        <v>0</v>
      </c>
      <c r="I10" s="82">
        <f>SUMIFS(Tableau1[juin],Tableau1[Prestataire],"Prestataire6")</f>
        <v>0</v>
      </c>
      <c r="J10" s="82">
        <f>SUMIFS(Tableau1[juillet],Tableau1[Prestataire],"Prestataire6")</f>
        <v>0</v>
      </c>
      <c r="K10" s="82">
        <f>SUMIFS(Tableau1[aout],Tableau1[Prestataire],"Prestataire6")</f>
        <v>0</v>
      </c>
      <c r="L10" s="82">
        <f>SUMIFS(Tableau1[septembre],Tableau1[Prestataire],"Prestataire6")</f>
        <v>0</v>
      </c>
      <c r="M10" s="82">
        <f>SUMIFS(Tableau1[octobre],Tableau1[Prestataire],"Prestataire6")</f>
        <v>0</v>
      </c>
      <c r="N10" s="82">
        <f>SUMIFS(Tableau1[novembre],Tableau1[Prestataire],"Prestataire6")</f>
        <v>0</v>
      </c>
      <c r="O10" s="82">
        <f>SUMIFS(Tableau1[decembre],Tableau1[Prestataire],"Prestataire6")</f>
        <v>0</v>
      </c>
      <c r="P10" s="98">
        <f t="shared" si="0"/>
        <v>0</v>
      </c>
    </row>
    <row r="11" spans="1:16" ht="15" x14ac:dyDescent="0.2">
      <c r="A11" s="81" t="s">
        <v>86</v>
      </c>
      <c r="B11" s="81">
        <v>30</v>
      </c>
      <c r="C11" s="81" t="s">
        <v>71</v>
      </c>
      <c r="D11" s="82">
        <f>SUMIFS(Tableau1[janvier],Tableau1[Prestataire],"Prestataire7")</f>
        <v>0</v>
      </c>
      <c r="E11" s="82">
        <f>SUMIFS(Tableau1[fevrier],Tableau1[Prestataire],"Prestataire7")</f>
        <v>0</v>
      </c>
      <c r="F11" s="82">
        <f>SUMIFS(Tableau1[mars],Tableau1[Prestataire],"Prestataire7")</f>
        <v>0</v>
      </c>
      <c r="G11" s="82">
        <f>SUMIFS(Tableau1[avril],Tableau1[Prestataire],"Prestataire7")</f>
        <v>0</v>
      </c>
      <c r="H11" s="82">
        <f>SUMIFS(Tableau1[mai],Tableau1[Prestataire],"Prestataire7")</f>
        <v>0</v>
      </c>
      <c r="I11" s="82">
        <f>SUMIFS(Tableau1[juin],Tableau1[Prestataire],"Prestataire7")</f>
        <v>0</v>
      </c>
      <c r="J11" s="82">
        <f>SUMIFS(Tableau1[juillet],Tableau1[Prestataire],"Prestataire7")</f>
        <v>0</v>
      </c>
      <c r="K11" s="82">
        <f>SUMIFS(Tableau1[aout],Tableau1[Prestataire],"Prestataire7")</f>
        <v>0</v>
      </c>
      <c r="L11" s="82">
        <f>SUMIFS(Tableau1[septembre],Tableau1[Prestataire],"Prestataire7")</f>
        <v>0</v>
      </c>
      <c r="M11" s="82">
        <f>SUMIFS(Tableau1[octobre],Tableau1[Prestataire],"Prestataire7")</f>
        <v>0</v>
      </c>
      <c r="N11" s="82">
        <f>SUMIFS(Tableau1[novembre],Tableau1[Prestataire],"Prestataire7")</f>
        <v>0</v>
      </c>
      <c r="O11" s="82">
        <f>SUMIFS(Tableau1[decembre],Tableau1[Prestataire],"Prestataire7")</f>
        <v>0</v>
      </c>
      <c r="P11" s="98">
        <f t="shared" si="0"/>
        <v>0</v>
      </c>
    </row>
    <row r="12" spans="1:16" ht="15" x14ac:dyDescent="0.2">
      <c r="A12" s="83" t="s">
        <v>89</v>
      </c>
      <c r="B12" s="83">
        <v>30</v>
      </c>
      <c r="C12" s="83" t="s">
        <v>71</v>
      </c>
      <c r="D12" s="84">
        <f>SUMIFS(Tableau1[janvier],Tableau1[Prestataire],"Prestataire8")</f>
        <v>0</v>
      </c>
      <c r="E12" s="84">
        <f>SUMIFS(Tableau1[fevrier],Tableau1[Prestataire],"Prestataire8")</f>
        <v>0</v>
      </c>
      <c r="F12" s="84">
        <f>SUMIFS(Tableau1[mars],Tableau1[Prestataire],"Prestataire8")</f>
        <v>0</v>
      </c>
      <c r="G12" s="84">
        <f>SUMIFS(Tableau1[avril],Tableau1[Prestataire],"Prestataire8")</f>
        <v>0</v>
      </c>
      <c r="H12" s="84">
        <f>SUMIFS(Tableau1[mai],Tableau1[Prestataire],"Prestataire8")</f>
        <v>0</v>
      </c>
      <c r="I12" s="84">
        <f>SUMIFS(Tableau1[juin],Tableau1[Prestataire],"Prestataire8")</f>
        <v>0</v>
      </c>
      <c r="J12" s="84">
        <f>SUMIFS(Tableau1[juillet],Tableau1[Prestataire],"Prestataire8")</f>
        <v>0</v>
      </c>
      <c r="K12" s="84">
        <f>SUMIFS(Tableau1[aout],Tableau1[Prestataire],"Prestataire8")</f>
        <v>0</v>
      </c>
      <c r="L12" s="84">
        <f>SUMIFS(Tableau1[septembre],Tableau1[Prestataire],"Prestataire8")</f>
        <v>0</v>
      </c>
      <c r="M12" s="84">
        <f>SUMIFS(Tableau1[octobre],Tableau1[Prestataire],"Prestataire8")</f>
        <v>0</v>
      </c>
      <c r="N12" s="84">
        <f>SUMIFS(Tableau1[novembre],Tableau1[Prestataire],"Prestataire8")</f>
        <v>0</v>
      </c>
      <c r="O12" s="84">
        <f>SUMIFS(Tableau1[decembre],Tableau1[Prestataire],"Prestataire8")</f>
        <v>0</v>
      </c>
      <c r="P12" s="99">
        <f t="shared" si="0"/>
        <v>0</v>
      </c>
    </row>
    <row r="13" spans="1:16" ht="15" x14ac:dyDescent="0.2">
      <c r="A13" s="93" t="s">
        <v>44</v>
      </c>
      <c r="B13" s="94"/>
      <c r="C13" s="95"/>
      <c r="D13" s="96">
        <f t="shared" ref="D13:P13" si="1">SUM(D5:D12)</f>
        <v>1</v>
      </c>
      <c r="E13" s="96">
        <f t="shared" si="1"/>
        <v>0</v>
      </c>
      <c r="F13" s="96">
        <f t="shared" si="1"/>
        <v>2500</v>
      </c>
      <c r="G13" s="96">
        <f t="shared" si="1"/>
        <v>3000</v>
      </c>
      <c r="H13" s="96">
        <f t="shared" si="1"/>
        <v>0</v>
      </c>
      <c r="I13" s="96">
        <f t="shared" si="1"/>
        <v>0</v>
      </c>
      <c r="J13" s="96">
        <f t="shared" si="1"/>
        <v>0</v>
      </c>
      <c r="K13" s="96">
        <f t="shared" si="1"/>
        <v>0</v>
      </c>
      <c r="L13" s="96">
        <f t="shared" si="1"/>
        <v>0</v>
      </c>
      <c r="M13" s="96">
        <f t="shared" si="1"/>
        <v>2500</v>
      </c>
      <c r="N13" s="96">
        <f t="shared" si="1"/>
        <v>0</v>
      </c>
      <c r="O13" s="96">
        <f t="shared" si="1"/>
        <v>0</v>
      </c>
      <c r="P13" s="96">
        <f t="shared" si="1"/>
        <v>8001</v>
      </c>
    </row>
    <row r="16" spans="1:16" ht="15.75" x14ac:dyDescent="0.2">
      <c r="A16" s="87" t="s">
        <v>121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8" spans="1:16" ht="15" x14ac:dyDescent="0.25">
      <c r="A18" s="91" t="s">
        <v>111</v>
      </c>
      <c r="B18" s="137" t="s">
        <v>112</v>
      </c>
      <c r="C18" s="137"/>
      <c r="D18" s="92" t="s">
        <v>113</v>
      </c>
      <c r="E18" s="92" t="s">
        <v>114</v>
      </c>
      <c r="F18" s="92" t="s">
        <v>40</v>
      </c>
      <c r="G18" s="92" t="s">
        <v>115</v>
      </c>
      <c r="H18" s="92" t="s">
        <v>41</v>
      </c>
      <c r="I18" s="92" t="s">
        <v>42</v>
      </c>
      <c r="J18" s="92" t="s">
        <v>116</v>
      </c>
      <c r="K18" s="92" t="s">
        <v>43</v>
      </c>
      <c r="L18" s="92" t="s">
        <v>117</v>
      </c>
      <c r="M18" s="92" t="s">
        <v>118</v>
      </c>
      <c r="N18" s="92" t="s">
        <v>119</v>
      </c>
      <c r="O18" s="92" t="s">
        <v>120</v>
      </c>
      <c r="P18" s="92" t="s">
        <v>44</v>
      </c>
    </row>
    <row r="19" spans="1:16" ht="15" x14ac:dyDescent="0.2">
      <c r="A19" s="79" t="s">
        <v>49</v>
      </c>
      <c r="B19" s="79">
        <v>0</v>
      </c>
      <c r="C19" s="79" t="s">
        <v>68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100">
        <f>SUM(D19:O19)</f>
        <v>0</v>
      </c>
    </row>
    <row r="20" spans="1:16" ht="15" x14ac:dyDescent="0.2">
      <c r="A20" s="81" t="s">
        <v>46</v>
      </c>
      <c r="B20" s="81">
        <v>60</v>
      </c>
      <c r="C20" s="81" t="s">
        <v>71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98">
        <f t="shared" ref="P20:P26" si="2">SUM(D20:O20)</f>
        <v>0</v>
      </c>
    </row>
    <row r="21" spans="1:16" ht="15" x14ac:dyDescent="0.2">
      <c r="A21" s="81" t="s">
        <v>72</v>
      </c>
      <c r="B21" s="81">
        <v>0</v>
      </c>
      <c r="C21" s="81" t="s">
        <v>68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98">
        <f t="shared" si="2"/>
        <v>0</v>
      </c>
    </row>
    <row r="22" spans="1:16" ht="15" x14ac:dyDescent="0.2">
      <c r="A22" s="81" t="s">
        <v>50</v>
      </c>
      <c r="B22" s="81">
        <v>45</v>
      </c>
      <c r="C22" s="81" t="s">
        <v>71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98">
        <f t="shared" si="2"/>
        <v>0</v>
      </c>
    </row>
    <row r="23" spans="1:16" ht="15" x14ac:dyDescent="0.2">
      <c r="A23" s="81" t="s">
        <v>79</v>
      </c>
      <c r="B23" s="81">
        <v>45</v>
      </c>
      <c r="C23" s="81" t="s">
        <v>71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98">
        <f t="shared" si="2"/>
        <v>0</v>
      </c>
    </row>
    <row r="24" spans="1:16" ht="15" x14ac:dyDescent="0.2">
      <c r="A24" s="81" t="s">
        <v>82</v>
      </c>
      <c r="B24" s="81">
        <v>30</v>
      </c>
      <c r="C24" s="81" t="s">
        <v>71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98">
        <f t="shared" si="2"/>
        <v>0</v>
      </c>
    </row>
    <row r="25" spans="1:16" ht="15" x14ac:dyDescent="0.2">
      <c r="A25" s="81" t="s">
        <v>86</v>
      </c>
      <c r="B25" s="81">
        <v>30</v>
      </c>
      <c r="C25" s="81" t="s">
        <v>71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98">
        <f t="shared" si="2"/>
        <v>0</v>
      </c>
    </row>
    <row r="26" spans="1:16" ht="15" x14ac:dyDescent="0.2">
      <c r="A26" s="83" t="s">
        <v>89</v>
      </c>
      <c r="B26" s="83">
        <v>15</v>
      </c>
      <c r="C26" s="83" t="s">
        <v>71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99">
        <f t="shared" si="2"/>
        <v>0</v>
      </c>
    </row>
    <row r="27" spans="1:16" ht="15" x14ac:dyDescent="0.2">
      <c r="A27" s="93" t="s">
        <v>44</v>
      </c>
      <c r="B27" s="94"/>
      <c r="C27" s="95"/>
      <c r="D27" s="96">
        <f>SUM(D19:D26)</f>
        <v>0</v>
      </c>
      <c r="E27" s="96">
        <f t="shared" ref="E27:P27" si="3">SUM(E19:E26)</f>
        <v>0</v>
      </c>
      <c r="F27" s="96">
        <f t="shared" si="3"/>
        <v>0</v>
      </c>
      <c r="G27" s="96">
        <f t="shared" si="3"/>
        <v>0</v>
      </c>
      <c r="H27" s="96">
        <f t="shared" si="3"/>
        <v>0</v>
      </c>
      <c r="I27" s="96">
        <f t="shared" si="3"/>
        <v>0</v>
      </c>
      <c r="J27" s="96">
        <f t="shared" si="3"/>
        <v>0</v>
      </c>
      <c r="K27" s="96">
        <f t="shared" si="3"/>
        <v>0</v>
      </c>
      <c r="L27" s="96">
        <f t="shared" si="3"/>
        <v>0</v>
      </c>
      <c r="M27" s="96">
        <f t="shared" si="3"/>
        <v>0</v>
      </c>
      <c r="N27" s="96">
        <f t="shared" si="3"/>
        <v>0</v>
      </c>
      <c r="O27" s="96">
        <f t="shared" si="3"/>
        <v>0</v>
      </c>
      <c r="P27" s="96">
        <f t="shared" si="3"/>
        <v>0</v>
      </c>
    </row>
    <row r="30" spans="1:16" ht="15.75" x14ac:dyDescent="0.2">
      <c r="A30" s="87" t="s">
        <v>122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</row>
    <row r="32" spans="1:16" ht="15" x14ac:dyDescent="0.25">
      <c r="A32" s="91" t="s">
        <v>111</v>
      </c>
      <c r="B32" s="137" t="s">
        <v>112</v>
      </c>
      <c r="C32" s="137"/>
      <c r="D32" s="92" t="s">
        <v>113</v>
      </c>
      <c r="E32" s="92" t="s">
        <v>114</v>
      </c>
      <c r="F32" s="92" t="s">
        <v>40</v>
      </c>
      <c r="G32" s="92" t="s">
        <v>115</v>
      </c>
      <c r="H32" s="92" t="s">
        <v>41</v>
      </c>
      <c r="I32" s="92" t="s">
        <v>42</v>
      </c>
      <c r="J32" s="92" t="s">
        <v>116</v>
      </c>
      <c r="K32" s="92" t="s">
        <v>43</v>
      </c>
      <c r="L32" s="92" t="s">
        <v>117</v>
      </c>
      <c r="M32" s="92" t="s">
        <v>118</v>
      </c>
      <c r="N32" s="92" t="s">
        <v>119</v>
      </c>
      <c r="O32" s="92" t="s">
        <v>120</v>
      </c>
      <c r="P32" s="92" t="s">
        <v>44</v>
      </c>
    </row>
    <row r="33" spans="1:16" ht="15" x14ac:dyDescent="0.2">
      <c r="A33" s="79" t="s">
        <v>49</v>
      </c>
      <c r="B33" s="79">
        <v>0</v>
      </c>
      <c r="C33" s="79" t="s">
        <v>68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00">
        <f>SUM(D33:O33)</f>
        <v>0</v>
      </c>
    </row>
    <row r="34" spans="1:16" ht="15" x14ac:dyDescent="0.2">
      <c r="A34" s="81" t="s">
        <v>46</v>
      </c>
      <c r="B34" s="81">
        <v>60</v>
      </c>
      <c r="C34" s="81" t="s">
        <v>71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98">
        <f t="shared" ref="P34:P40" si="4">SUM(D34:O34)</f>
        <v>0</v>
      </c>
    </row>
    <row r="35" spans="1:16" ht="15" x14ac:dyDescent="0.2">
      <c r="A35" s="81" t="s">
        <v>72</v>
      </c>
      <c r="B35" s="81">
        <v>0</v>
      </c>
      <c r="C35" s="81" t="s">
        <v>68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98">
        <f t="shared" si="4"/>
        <v>0</v>
      </c>
    </row>
    <row r="36" spans="1:16" ht="15" x14ac:dyDescent="0.2">
      <c r="A36" s="81" t="s">
        <v>50</v>
      </c>
      <c r="B36" s="81">
        <v>45</v>
      </c>
      <c r="C36" s="81" t="s">
        <v>71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98">
        <f t="shared" si="4"/>
        <v>0</v>
      </c>
    </row>
    <row r="37" spans="1:16" ht="15" x14ac:dyDescent="0.2">
      <c r="A37" s="81" t="s">
        <v>79</v>
      </c>
      <c r="B37" s="81">
        <v>45</v>
      </c>
      <c r="C37" s="81" t="s">
        <v>71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98">
        <f t="shared" si="4"/>
        <v>0</v>
      </c>
    </row>
    <row r="38" spans="1:16" ht="15" x14ac:dyDescent="0.2">
      <c r="A38" s="81" t="s">
        <v>82</v>
      </c>
      <c r="B38" s="81">
        <v>30</v>
      </c>
      <c r="C38" s="81" t="s">
        <v>71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98">
        <f t="shared" si="4"/>
        <v>0</v>
      </c>
    </row>
    <row r="39" spans="1:16" ht="15" x14ac:dyDescent="0.2">
      <c r="A39" s="81" t="s">
        <v>86</v>
      </c>
      <c r="B39" s="81">
        <v>30</v>
      </c>
      <c r="C39" s="81" t="s">
        <v>71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98">
        <f t="shared" si="4"/>
        <v>0</v>
      </c>
    </row>
    <row r="40" spans="1:16" ht="15" x14ac:dyDescent="0.2">
      <c r="A40" s="83" t="s">
        <v>89</v>
      </c>
      <c r="B40" s="83">
        <v>15</v>
      </c>
      <c r="C40" s="83" t="s">
        <v>71</v>
      </c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99">
        <f t="shared" si="4"/>
        <v>0</v>
      </c>
    </row>
    <row r="41" spans="1:16" ht="15" x14ac:dyDescent="0.2">
      <c r="A41" s="93" t="s">
        <v>44</v>
      </c>
      <c r="B41" s="94"/>
      <c r="C41" s="95"/>
      <c r="D41" s="96">
        <f>SUM(D33:D40)</f>
        <v>0</v>
      </c>
      <c r="E41" s="96">
        <f t="shared" ref="E41:P41" si="5">SUM(E33:E40)</f>
        <v>0</v>
      </c>
      <c r="F41" s="96">
        <f t="shared" si="5"/>
        <v>0</v>
      </c>
      <c r="G41" s="96">
        <f t="shared" si="5"/>
        <v>0</v>
      </c>
      <c r="H41" s="96">
        <f t="shared" si="5"/>
        <v>0</v>
      </c>
      <c r="I41" s="96">
        <f t="shared" si="5"/>
        <v>0</v>
      </c>
      <c r="J41" s="96">
        <f t="shared" si="5"/>
        <v>0</v>
      </c>
      <c r="K41" s="96">
        <f t="shared" si="5"/>
        <v>0</v>
      </c>
      <c r="L41" s="96">
        <f t="shared" si="5"/>
        <v>0</v>
      </c>
      <c r="M41" s="96">
        <f t="shared" si="5"/>
        <v>0</v>
      </c>
      <c r="N41" s="96">
        <f t="shared" si="5"/>
        <v>0</v>
      </c>
      <c r="O41" s="96">
        <f t="shared" si="5"/>
        <v>0</v>
      </c>
      <c r="P41" s="96">
        <f t="shared" si="5"/>
        <v>0</v>
      </c>
    </row>
  </sheetData>
  <mergeCells count="3">
    <mergeCell ref="B4:C4"/>
    <mergeCell ref="B18:C18"/>
    <mergeCell ref="B32:C32"/>
  </mergeCells>
  <conditionalFormatting sqref="A5:P12">
    <cfRule type="expression" dxfId="5" priority="6">
      <formula>MOD(ROW(),2)</formula>
    </cfRule>
  </conditionalFormatting>
  <conditionalFormatting sqref="A33:P40">
    <cfRule type="expression" dxfId="4" priority="4">
      <formula>MOD(ROW(),2)</formula>
    </cfRule>
  </conditionalFormatting>
  <conditionalFormatting sqref="A19:P26">
    <cfRule type="expression" dxfId="3" priority="5">
      <formula>MOD(ROW(),2)</formula>
    </cfRule>
  </conditionalFormatting>
  <conditionalFormatting sqref="C5:C12">
    <cfRule type="expression" dxfId="2" priority="3">
      <formula>$C5:$C12=0</formula>
    </cfRule>
  </conditionalFormatting>
  <conditionalFormatting sqref="B19:B26">
    <cfRule type="expression" dxfId="1" priority="2">
      <formula>$B19:$B26=0</formula>
    </cfRule>
  </conditionalFormatting>
  <conditionalFormatting sqref="B33:B40">
    <cfRule type="expression" dxfId="0" priority="1">
      <formula>$B33:$B40=0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FACTURE</vt:lpstr>
      <vt:lpstr>PRESTATAIRES</vt:lpstr>
      <vt:lpstr>SUIVI REGL.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Guy Blancher</cp:lastModifiedBy>
  <cp:lastPrinted>2018-08-15T17:47:57Z</cp:lastPrinted>
  <dcterms:created xsi:type="dcterms:W3CDTF">2005-12-02T12:01:02Z</dcterms:created>
  <dcterms:modified xsi:type="dcterms:W3CDTF">2018-08-20T21:58:40Z</dcterms:modified>
</cp:coreProperties>
</file>